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4248" windowWidth="12396" windowHeight="4908" activeTab="0"/>
  </bookViews>
  <sheets>
    <sheet name="дек" sheetId="1" r:id="rId1"/>
  </sheets>
  <definedNames>
    <definedName name="_xlnm._FilterDatabase" localSheetId="0" hidden="1">'дек'!$A$15:$G$710</definedName>
    <definedName name="_xlnm.Print_Titles" localSheetId="0">'дек'!$15:$15</definedName>
    <definedName name="_xlnm.Print_Area" localSheetId="0">'дек'!$A$1:$G$710</definedName>
  </definedNames>
  <calcPr fullCalcOnLoad="1"/>
</workbook>
</file>

<file path=xl/sharedStrings.xml><?xml version="1.0" encoding="utf-8"?>
<sst xmlns="http://schemas.openxmlformats.org/spreadsheetml/2006/main" count="3148" uniqueCount="606">
  <si>
    <t xml:space="preserve">Мероприятия в сфере культуры, кинематографии </t>
  </si>
  <si>
    <t xml:space="preserve">Государственная поддержка в сфере культуры, кинематографии </t>
  </si>
  <si>
    <t>Средства массовой информации</t>
  </si>
  <si>
    <t>1200</t>
  </si>
  <si>
    <t>1400</t>
  </si>
  <si>
    <t>1401</t>
  </si>
  <si>
    <t>Межбюджетные трансферты бюджетам субъектов Российской Федерации и муниципальных образований</t>
  </si>
  <si>
    <t xml:space="preserve">Дотации на выравнивание бюджетной обеспеченности субъектов Российской Федерации  и муниципальных образований </t>
  </si>
  <si>
    <t>Физическая культура</t>
  </si>
  <si>
    <t>1101</t>
  </si>
  <si>
    <t>0501</t>
  </si>
  <si>
    <t>Жилищное хозяйство</t>
  </si>
  <si>
    <t>949</t>
  </si>
  <si>
    <t>Прочие межбюджетные трансферты бюджетам поселений из бюджета муниципального района</t>
  </si>
  <si>
    <t>521 03 01</t>
  </si>
  <si>
    <t>521 03 00</t>
  </si>
  <si>
    <t>Иные межбюджетные трансферты бюджетам бюджетной системы</t>
  </si>
  <si>
    <t>521 00 00</t>
  </si>
  <si>
    <t>Межбюджетные трансферты</t>
  </si>
  <si>
    <t>505 37 12</t>
  </si>
  <si>
    <t>Расходы на возмещение затрат по обеспечению равной доступности услуг общественного транспорта на территории ЛО для отдельных категорий граждан</t>
  </si>
  <si>
    <t xml:space="preserve">Расходы на прочие мероприятия в области культуры </t>
  </si>
  <si>
    <t>092 03 41</t>
  </si>
  <si>
    <t>Информирование жителей  в СМИ о развитии муниципального образования</t>
  </si>
  <si>
    <t>Долгосрочная целевая программа "Развитие образования МО "Кировский район Ленинградской области" на 2011-2015 годы"</t>
  </si>
  <si>
    <t>Программа "Развитие образования МО "Кировский район Ленинградской области" на 2011-2015 год"</t>
  </si>
  <si>
    <t>092 03 05</t>
  </si>
  <si>
    <t>Исполнение судебных актов, вступивших в законную силу, по искам к муниципальному образованию</t>
  </si>
  <si>
    <t>Долгосрочная целевая программа "Демографическое развитие Кировского района Ленинградской области на 2011 - 2012 годы"</t>
  </si>
  <si>
    <t>795 05 00</t>
  </si>
  <si>
    <t>Обеспечение жилыми помещениями детей 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</si>
  <si>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1204</t>
  </si>
  <si>
    <t>Другие вопросы в области средств массовой информации</t>
  </si>
  <si>
    <t>795 41 00</t>
  </si>
  <si>
    <t xml:space="preserve">Долгосрочная целевая программа "Поддержка граждан, нуждающихся в улучшении жилищных условий, в том числе молодежи на 2010 -2012 годы"  </t>
  </si>
  <si>
    <t>решением совета депутатов</t>
  </si>
  <si>
    <t>795 42 00</t>
  </si>
  <si>
    <t>521 03 06</t>
  </si>
  <si>
    <t>Средства бюджетам муниципальных образований на проведение непредвиденных работ и других неотложных мероприятий, направленных на обеспечение устойчивого функционирования объектов жилищно- коммунального хозяйства</t>
  </si>
  <si>
    <t>"____" декабря 2012 г. № ____)</t>
  </si>
  <si>
    <t>Долгосрочная целевая программа "Сохранение и восстановление плодородия почв земель сельскохозяйственного назначения и агроландшафтов Кировского района Ленинградской области на 2010-2012 годы"</t>
  </si>
  <si>
    <t>Наименование</t>
  </si>
  <si>
    <t>0100</t>
  </si>
  <si>
    <t/>
  </si>
  <si>
    <t>Общегосударственные вопросы</t>
  </si>
  <si>
    <t>0102</t>
  </si>
  <si>
    <t>0103</t>
  </si>
  <si>
    <t>005</t>
  </si>
  <si>
    <t>Центральный аппарат</t>
  </si>
  <si>
    <t>0104</t>
  </si>
  <si>
    <t>0106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</si>
  <si>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</si>
  <si>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</si>
  <si>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</si>
  <si>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Резервные фонды</t>
  </si>
  <si>
    <t>Другие общегосударственные вопросы</t>
  </si>
  <si>
    <t>Обеспечение деятельности подведомственных учреждений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</si>
  <si>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</si>
  <si>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</si>
  <si>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0300</t>
  </si>
  <si>
    <t>Национальная безопасность и правоохранительная деятельность</t>
  </si>
  <si>
    <t>0309</t>
  </si>
  <si>
    <t>Мероприятия по предупреждению и ликвидации последствий чрезвычайных ситуаций и стихийных бедствий</t>
  </si>
  <si>
    <t>0400</t>
  </si>
  <si>
    <t>Национальная экономика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</si>
  <si>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</si>
  <si>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</si>
  <si>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</si>
  <si>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0500</t>
  </si>
  <si>
    <t>Жилищно-коммунальное хозяйство</t>
  </si>
  <si>
    <t>0502</t>
  </si>
  <si>
    <t>Коммунальное хозяйство</t>
  </si>
  <si>
    <t>0700</t>
  </si>
  <si>
    <t>Образование</t>
  </si>
  <si>
    <t>0701</t>
  </si>
  <si>
    <t>Дошкольное образование</t>
  </si>
  <si>
    <t>Детские дошкольные учреждения</t>
  </si>
  <si>
    <t>0702</t>
  </si>
  <si>
    <t>Общее образование</t>
  </si>
  <si>
    <t>Школы-детские сады, школы начальные, неполные средние и средние</t>
  </si>
  <si>
    <t>Вечерние и заочные средние образовательные школы</t>
  </si>
  <si>
    <t>Учреждения по внешкольной работе с детьми</t>
  </si>
  <si>
    <t>Детские музыкальные , художественные школы и школы искусств</t>
  </si>
  <si>
    <t>0707</t>
  </si>
  <si>
    <t>Молодежная политика и оздоровление детей</t>
  </si>
  <si>
    <t>Организационно-воспитательная работа с молодежью</t>
  </si>
  <si>
    <t>0709</t>
  </si>
  <si>
    <t>Другие вопросы в области образования</t>
  </si>
  <si>
    <t>Учреждения, обеспечивающие предоставление услуг в сфере образования</t>
  </si>
  <si>
    <t>0800</t>
  </si>
  <si>
    <t>0801</t>
  </si>
  <si>
    <t>Культура</t>
  </si>
  <si>
    <t>Библиотеки</t>
  </si>
  <si>
    <t>0804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</si>
  <si>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</si>
  <si>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</si>
  <si>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</si>
  <si>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</si>
  <si>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</si>
  <si>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</si>
  <si>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351 32 00</t>
  </si>
  <si>
    <t>Расходы на проведение капитального ремонта по объектам водоснабжения и водоотведения</t>
  </si>
  <si>
    <t>Учреждения социального обслуживания населения</t>
  </si>
  <si>
    <t>1003</t>
  </si>
  <si>
    <t>Социальное обеспечение населения</t>
  </si>
  <si>
    <t>1004</t>
  </si>
  <si>
    <t>1006</t>
  </si>
  <si>
    <t>Другие вопросы в области социальной политики</t>
  </si>
  <si>
    <t>1100</t>
  </si>
  <si>
    <t>ВСЕГО</t>
  </si>
  <si>
    <t>Учреждения по обеспечению хозяйственного обслуживания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</si>
  <si>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</si>
  <si>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</si>
  <si>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Целевые программы муниципальных образований</t>
  </si>
  <si>
    <t>Проведение мероприятий для детей и молодежи</t>
  </si>
  <si>
    <t>Расходы на оплату публикаций в средствах массовой информации официальных материалов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</si>
  <si>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</si>
  <si>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Сельское хозяйство и рыболовство</t>
  </si>
  <si>
    <t>0405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</si>
  <si>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</si>
  <si>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</si>
  <si>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Глава муниципального образования</t>
  </si>
  <si>
    <t>Глава местной администрации (исполнительно-распорядительного органа муниципального образования)</t>
  </si>
  <si>
    <t>Оплата жилищно-коммунальных услуг отдельным категориям граждан</t>
  </si>
  <si>
    <t>Расходы на оплату услуг эфирного времени для освещения развития муниципального образования и деятельности органов местного самоуправления</t>
  </si>
  <si>
    <t>Расходы на оказание содействия депутатам Законодательного собрания в проведении встреч с избирателями, приема граждан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</si>
  <si>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</si>
  <si>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</si>
  <si>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</si>
  <si>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</si>
  <si>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002 03 00</t>
  </si>
  <si>
    <t>500</t>
  </si>
  <si>
    <t>Выполнение функций органами местного самоуправления</t>
  </si>
  <si>
    <t>002 04 00</t>
  </si>
  <si>
    <t>Субсидии бюджетам муниципальных образований на обеспечение стимулирующих выплат воспитателям, музыкальным руководителям, инструкторам по физической культуре и помощникам воспитателей (младшим воспитателям) в муниципальных образовательных учреждениях, реализующих основную общеобразовательную программу дошкольного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</si>
  <si>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</si>
  <si>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002 08 00</t>
  </si>
  <si>
    <t>Распределение бюджетных ассигнований</t>
  </si>
  <si>
    <t>по разделам и подразделам, целевым статьям и видам расходов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</si>
  <si>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</si>
  <si>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</si>
  <si>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065 00 00</t>
  </si>
  <si>
    <t>065 03 00</t>
  </si>
  <si>
    <t>070 00 00</t>
  </si>
  <si>
    <t>Резервные фонды местных администраций</t>
  </si>
  <si>
    <t>070 05 00</t>
  </si>
  <si>
    <t>002 99 00</t>
  </si>
  <si>
    <t>001</t>
  </si>
  <si>
    <t>090 02 00</t>
  </si>
  <si>
    <t>090 00 00</t>
  </si>
  <si>
    <t>092 00 00</t>
  </si>
  <si>
    <t>092 03 00</t>
  </si>
  <si>
    <t>092 03 02</t>
  </si>
  <si>
    <t>Уплата государственной пошлины по судебным делам</t>
  </si>
  <si>
    <t>092 03 03</t>
  </si>
  <si>
    <t>092 03 06</t>
  </si>
  <si>
    <t>093 00 00</t>
  </si>
  <si>
    <t>795 00 00</t>
  </si>
  <si>
    <t xml:space="preserve">Государственная регистрация актов гражданского состояния </t>
  </si>
  <si>
    <t>001 38 00</t>
  </si>
  <si>
    <t xml:space="preserve">Руководство и управление в сфере установленных функций </t>
  </si>
  <si>
    <t>001 00 00</t>
  </si>
  <si>
    <t>218 00 00</t>
  </si>
  <si>
    <t>218 01 00</t>
  </si>
  <si>
    <t>0412</t>
  </si>
  <si>
    <t>340 00 00</t>
  </si>
  <si>
    <t>340 03 00</t>
  </si>
  <si>
    <t>Бюджетные инвестиции в объекты капитального строительства, не включенные в целевые программы</t>
  </si>
  <si>
    <t>102 00 00</t>
  </si>
  <si>
    <t>Бюджетные инвестиции</t>
  </si>
  <si>
    <t>003</t>
  </si>
  <si>
    <t>420 00 00</t>
  </si>
  <si>
    <t>420 99 00</t>
  </si>
  <si>
    <t>Обеспечение деятельности подведомственных учреждений в части проведения капитального ремонта</t>
  </si>
  <si>
    <t>421 00 00</t>
  </si>
  <si>
    <t>421 98 00</t>
  </si>
  <si>
    <t>421 99 00</t>
  </si>
  <si>
    <t>421 99 01</t>
  </si>
  <si>
    <t>421 99 02</t>
  </si>
  <si>
    <t>520 00 00</t>
  </si>
  <si>
    <t>423 00 00</t>
  </si>
  <si>
    <t>423 99 00</t>
  </si>
  <si>
    <t>423 99 01</t>
  </si>
  <si>
    <t>520 09 00</t>
  </si>
  <si>
    <t>431 00 00</t>
  </si>
  <si>
    <t>431 01 00</t>
  </si>
  <si>
    <t>435 00 00</t>
  </si>
  <si>
    <t>435 99 00</t>
  </si>
  <si>
    <t>795 24 00</t>
  </si>
  <si>
    <t>442 00 00</t>
  </si>
  <si>
    <t>442 99 00</t>
  </si>
  <si>
    <t>450 00 00</t>
  </si>
  <si>
    <t>Физическая культура и спорт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</si>
  <si>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</si>
  <si>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</si>
  <si>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</si>
  <si>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</si>
  <si>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Социальные выплаты</t>
  </si>
  <si>
    <t>Социальная помощь</t>
  </si>
  <si>
    <t>505 00 00</t>
  </si>
  <si>
    <t>Закон Российской Федерации от 9 июня 1993 года № 5142-I "О донорстве крови и ее компонентов"</t>
  </si>
  <si>
    <t>505 29 00</t>
  </si>
  <si>
    <t>Обеспечение мер социальной поддержки для лиц, награжденных знаком «Почетный донор СССР» ,  «Почетный донор России»</t>
  </si>
  <si>
    <t>505 29 01</t>
  </si>
  <si>
    <t xml:space="preserve">Ежемесячное пособие на ребенка </t>
  </si>
  <si>
    <t>505 46 00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</si>
  <si>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</si>
  <si>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505 46 01</t>
  </si>
  <si>
    <t>Предоставление гражданам субсидий на оплату жилого помещения  и коммунальных услуг</t>
  </si>
  <si>
    <t>505 48 00</t>
  </si>
  <si>
    <t>Охрана семьи и детства</t>
  </si>
  <si>
    <t>520 13 00</t>
  </si>
  <si>
    <t>520 13 12</t>
  </si>
  <si>
    <t>795 02 00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</si>
  <si>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</si>
  <si>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многодетным семьям по оплате жилья и коммунальных услуг</t>
  </si>
  <si>
    <t>Меры социальной поддержки лицам, которым присвоено звание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</si>
  <si>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</si>
  <si>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многодетным семьям по предоставлению ежегодной денежной выплаты</t>
  </si>
  <si>
    <t>Меры социальной поддержки многодетным семьям по предоставлению льготного проезда детям</t>
  </si>
  <si>
    <t>423 99 02</t>
  </si>
  <si>
    <t>Обеспечение деятельности подведомственных учреждений без капитального ремонта и кредиторской задолженности прошлых лет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</si>
  <si>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</si>
  <si>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Защита населения и территории от чрезвычайных ситуаций природного и техногенного характера, гражданская оборона</t>
  </si>
  <si>
    <t>Содержание ребенка в семье опекуна и приемной семье, а также на оплата труда приемного родителя</t>
  </si>
  <si>
    <t>Выравнивание бюджетной обеспеченности</t>
  </si>
  <si>
    <t>516 00 00</t>
  </si>
  <si>
    <t xml:space="preserve">Выравнивание бюджетной обеспеченности поселений из районного фонда финансовой поддержки </t>
  </si>
  <si>
    <t>516 01 30</t>
  </si>
  <si>
    <t>Подпрограмма "Старшее поколение"</t>
  </si>
  <si>
    <t>Подпрограмма "Инвалиды"</t>
  </si>
  <si>
    <t>795 02 01</t>
  </si>
  <si>
    <t>795 02 02</t>
  </si>
  <si>
    <t>Рз</t>
  </si>
  <si>
    <t>ПР</t>
  </si>
  <si>
    <t>ЦСР</t>
  </si>
  <si>
    <t>ВР</t>
  </si>
  <si>
    <t>Сумма (тысяч рублей)</t>
  </si>
  <si>
    <t>Питание обучающихся в общеобразовательных учреждениях, расположенных на территории Ленинградской области</t>
  </si>
  <si>
    <t>505 37 00</t>
  </si>
  <si>
    <t>Меры социальной поддержки  сельским специалистам по оплате жилья и коммунальных услуг</t>
  </si>
  <si>
    <t>450 85 00</t>
  </si>
  <si>
    <t>450 85 02</t>
  </si>
  <si>
    <t>450 85 04</t>
  </si>
  <si>
    <t>450 85 05</t>
  </si>
  <si>
    <t>093 99 00</t>
  </si>
  <si>
    <t>102 01 00</t>
  </si>
  <si>
    <t>Региональные целевые программы</t>
  </si>
  <si>
    <t>522 00 00</t>
  </si>
  <si>
    <t>Иные межбюджетные трансферты</t>
  </si>
  <si>
    <t>002 04 10</t>
  </si>
  <si>
    <t xml:space="preserve">Выполнение функций органами местного самоуправления </t>
  </si>
  <si>
    <t>Бюджетные инвестиции в объекты капитального строительства собственности муниципальных образований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</si>
  <si>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</si>
  <si>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795 02 03</t>
  </si>
  <si>
    <t>Подпрограмма "Организация мероприятий по социальному обслуживанию лиц, освободившихся из мест лишения свободы и граждан без определенного места жительства"</t>
  </si>
  <si>
    <t>Утверждено</t>
  </si>
  <si>
    <t>Реализация мер социальной поддержки отдельных категорий граждан</t>
  </si>
  <si>
    <t>505 55 00</t>
  </si>
  <si>
    <t>Меры социальной поддержки ветеранам труда по предоставлению ежемесячной денежной выплаты</t>
  </si>
  <si>
    <t>Меры социальной поддержки ветеранам труда  по оплате жилья и коммунальных услуг</t>
  </si>
  <si>
    <t>Меры социальной поддержки тружеников тыла на  предоставление ежемесячной денежной выплаты</t>
  </si>
  <si>
    <t>505 55 30</t>
  </si>
  <si>
    <t>Обеспечение мер социальной поддержки реабилитированных лиц и лиц, признанных пострадавшими от политических репрессий</t>
  </si>
  <si>
    <t>Меры социальной поддержки жертв политических репрессий  по  оплате жилья и коммунальных услуг</t>
  </si>
  <si>
    <t>505 55 33</t>
  </si>
  <si>
    <t>505 55 34</t>
  </si>
  <si>
    <t>Меры социальной поддержки жертв политических репрессий  по предоставлению ежемесячной денежной выплаты</t>
  </si>
  <si>
    <t>002 04 70</t>
  </si>
  <si>
    <t>0410</t>
  </si>
  <si>
    <t>Связь и информатика</t>
  </si>
  <si>
    <t>795 35 00</t>
  </si>
  <si>
    <t>Долгосрочная целевая программа "Социальная поддержка граждан пожилого возраста и инвалидов"</t>
  </si>
  <si>
    <t>2010 год Бюджетные ассигнования на год (тысяч рублей)</t>
  </si>
  <si>
    <t>508 00 00</t>
  </si>
  <si>
    <t>508 99 00</t>
  </si>
  <si>
    <t>Оказание финансовой  и материальной помощи юридическим и физическим лицам, премирование по постановлению администрации в связи с юбилеем и вне системы оплаты труда</t>
  </si>
  <si>
    <t>795 24 01</t>
  </si>
  <si>
    <t>795 24 02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</si>
  <si>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РФ</t>
  </si>
  <si>
    <t>Федеральный закон от 19 мая 1995 года № 81-ФЗ "О государственных пособиях гражданам, имеющим детей"</t>
  </si>
  <si>
    <t>505 05 00</t>
  </si>
  <si>
    <t>Расходы на услуги по оценке муниципального имущества</t>
  </si>
  <si>
    <t>092 03 43</t>
  </si>
  <si>
    <t>092 03 07</t>
  </si>
  <si>
    <t>Расходы на капитальный ремонт прочих объектов согласно Адресной программы</t>
  </si>
  <si>
    <t>338 02 00</t>
  </si>
  <si>
    <t>338 00 00</t>
  </si>
  <si>
    <t>Расходы на подготовку и изготовление проектно-сметной документации объектов</t>
  </si>
  <si>
    <t>Мероприятия в области строительства, архитектуры и градостроительства</t>
  </si>
  <si>
    <t>Долгосрочная целевая программа "Развитие и поддержка малого и среднего бизнеса  Кировского муниципального района Ленинградской области на 2012-2015 годы"</t>
  </si>
  <si>
    <t>420 98 00</t>
  </si>
  <si>
    <t>423 98 00</t>
  </si>
  <si>
    <t>Здравоохранение</t>
  </si>
  <si>
    <t>0900</t>
  </si>
  <si>
    <t>Амбулаторная помощь</t>
  </si>
  <si>
    <t>0902</t>
  </si>
  <si>
    <t>508 98 00</t>
  </si>
  <si>
    <t>Софинансирование расходов на предоставление социальных выплат в рамках реализации подпрограммы "Обеспечение жильем молодых семей" ФЦП "Жилище" на 2011-2015 г.</t>
  </si>
  <si>
    <t>795 41 01</t>
  </si>
  <si>
    <t>795 41 02</t>
  </si>
  <si>
    <t xml:space="preserve">Софинансирование расходов на предоставление социальных выплат в рамках реализации мероприятий ДЦП "О поддержке граждан, нуждающихся в улучшении жилищных условий на основе принципов ипотечного кредитования в Ленинградской области на  2009 -2012 годы"  </t>
  </si>
  <si>
    <t>795 41 03</t>
  </si>
  <si>
    <t xml:space="preserve">Расходы на предоставление социальных выплат в рамках реализации ДЦП "Поддержка граждан, нуждающихся в улучшении жилищных условий, в том числе молодежи на 2010 -2012 годы" </t>
  </si>
  <si>
    <t>795 41 04</t>
  </si>
  <si>
    <t>Долгосрочная целевая программа "Развитие физической культуры и массового спорта в МО Кировский район Ленинградской области на 2012-2014 годы"</t>
  </si>
  <si>
    <t>795 11 00</t>
  </si>
  <si>
    <t>2012 год Бюджетные ассигнования на год 
(тысяч рублей)</t>
  </si>
  <si>
    <t>Ленинградской области</t>
  </si>
  <si>
    <t xml:space="preserve">Кировского муниципального района </t>
  </si>
  <si>
    <t xml:space="preserve">Выполнение функций органами местного самоуправления  </t>
  </si>
  <si>
    <t>Обеспечение выполнения функций бюджетными учреждениями в переходный период до 01.07.2012 г.</t>
  </si>
  <si>
    <t>002</t>
  </si>
  <si>
    <t>612</t>
  </si>
  <si>
    <t>Субсидии бюджетным учреждениям на иные цели</t>
  </si>
  <si>
    <t>522 02 00</t>
  </si>
  <si>
    <t>Долгосрочная целевая программа "Культура Ленинградской области на 2011-2013 годы"</t>
  </si>
  <si>
    <t>012</t>
  </si>
  <si>
    <t>522 89 00</t>
  </si>
  <si>
    <t>Долгосрочная целевая программа "Дети Ленинградской области на 2011- 2013 годы"</t>
  </si>
  <si>
    <t>Выполнение функций государственными органами</t>
  </si>
  <si>
    <t>011</t>
  </si>
  <si>
    <t>Долгосрочная целевая программа "Социальная поддержка граждан пожилого возраста и инвалидов в Ленинградской области" на 2011-2013 годы</t>
  </si>
  <si>
    <t>522 90 00</t>
  </si>
  <si>
    <t>Долгосрочная целевая программа "Повышение безопасности дорожного движения в Ленинградской области на 2011- 2012 годы"</t>
  </si>
  <si>
    <t>522 97 00</t>
  </si>
  <si>
    <t>522 95 00</t>
  </si>
  <si>
    <t>Долгосрочная целевая программа "Приоритетные направления развития образования Ленинградской области на 2011- 2015 годы"</t>
  </si>
  <si>
    <t>Долгосрочная целевая программа "Развитие дошкольного образования в Ленинградской области на 2011-2013 г.г."</t>
  </si>
  <si>
    <t>522 96 00</t>
  </si>
  <si>
    <t>521 01 00</t>
  </si>
  <si>
    <t>521 01 33</t>
  </si>
  <si>
    <t>522 10 00</t>
  </si>
  <si>
    <t>Долгосрочная целевая программа "Снижение административных барьеров, оптимизация и повышение качества предоставления государственных и муниципальных услуг, в том числе в электронном виде, на базе многофункциональных центров предоставления государственных и</t>
  </si>
  <si>
    <t>от «08» декабря 2011 г.  № 95</t>
  </si>
  <si>
    <t>(в редакции решения совета депутатов</t>
  </si>
  <si>
    <t>Заключение договоров аренды объектов движимого и недвижимого имущества, организация и ведение реестра муниципальной собственности</t>
  </si>
  <si>
    <t>Другие вопросы в области национальной безопасности и правоохранительной деятельности</t>
  </si>
  <si>
    <t>0314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</si>
  <si>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</si>
  <si>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</si>
  <si>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Транспорт</t>
  </si>
  <si>
    <t>0408</t>
  </si>
  <si>
    <t>092 03 98</t>
  </si>
  <si>
    <t>Расходы на софинансирование обеспечения деятельности информационно-консультационных центров для потребителей в рамках реализации ДЦП "Развитие системы защиты прав потребителей в Ленинградской области на 2012-2014 годы"</t>
  </si>
  <si>
    <t>Обеспечение равной доступности услуг общественного транспорта по территории ЛО для отдельных категорий граждан, оказание мер социальной поддержки которым относится к ведению РФ и Ленинградской области</t>
  </si>
  <si>
    <t>521 03 13</t>
  </si>
  <si>
    <t>Обеспечение мер социальной поддержки инвалидам по зрению I и II группы, проживающих в Ленинградской области, в части предоставления бесплатного проезда в автомобильном транспорте общего пользования городского и пригородного сообщения</t>
  </si>
  <si>
    <t>521 03 15</t>
  </si>
  <si>
    <t>Расходы на проектирование схемы территориального планирования Кировского района Ленинградской области</t>
  </si>
  <si>
    <t>338 03 00</t>
  </si>
  <si>
    <t>Поддержка коммунального хозяйства</t>
  </si>
  <si>
    <t>351 00 00</t>
  </si>
  <si>
    <t>Поддержка коммунального хозяйства в части капитального ремонта</t>
  </si>
  <si>
    <t>351 30 00</t>
  </si>
  <si>
    <t>Расходы на проведение капитального ремонта по объектам теплоснабжения</t>
  </si>
  <si>
    <t>351 31 00</t>
  </si>
  <si>
    <t>Детские дома</t>
  </si>
  <si>
    <t>424 00 00</t>
  </si>
  <si>
    <t>424 99 00</t>
  </si>
  <si>
    <t>Стационарная медицинская помощь</t>
  </si>
  <si>
    <t>0901</t>
  </si>
  <si>
    <t>Больницы, клиники, госпитали, медико-санитарные части</t>
  </si>
  <si>
    <t>470 00 00</t>
  </si>
  <si>
    <t>470 98 00</t>
  </si>
  <si>
    <t>470 99 00</t>
  </si>
  <si>
    <t>Федеральные целевые программы</t>
  </si>
  <si>
    <t>100 00 00</t>
  </si>
  <si>
    <t xml:space="preserve">Федеральная целевая программа «Жилище» на 2011 - 2015 годы </t>
  </si>
  <si>
    <t>100 88 00</t>
  </si>
  <si>
    <t>100 88 11</t>
  </si>
  <si>
    <t>Долгосрочная целевая программа "Жильё для молодёжи на 2009-2011 гг"</t>
  </si>
  <si>
    <t>522 17 00</t>
  </si>
  <si>
    <t xml:space="preserve">Подпрограмма "Обеспечение жильем молодых семей" </t>
  </si>
  <si>
    <t>100 88 20</t>
  </si>
  <si>
    <t>Подпрограмма "Обеспечение жильем молодых семей" за счет средств областного бюджета</t>
  </si>
  <si>
    <t>100 88 21</t>
  </si>
  <si>
    <t>505 34 00</t>
  </si>
  <si>
    <t>505 34 01</t>
  </si>
  <si>
    <t>Долгосрочная  целевая программа "О поддержке граждан, нуждающихся в улучшении жилищных условий, на основе принципов ипотечного кредитования в Ленинградской области на 2009 -2012 годы"</t>
  </si>
  <si>
    <t>522 34 00</t>
  </si>
  <si>
    <t>070 04 01</t>
  </si>
  <si>
    <t>Резервный фонд Правительства Ленинградской области</t>
  </si>
  <si>
    <t>0105</t>
  </si>
  <si>
    <t>001 40 00</t>
  </si>
  <si>
    <t>001 40 01</t>
  </si>
  <si>
    <t>Судебная система</t>
  </si>
  <si>
    <t>Руководство и управление в сфере установленных функций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</si>
  <si>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</si>
  <si>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Составление (изменение) списков кандидатов в присяжные заседатели Ленинградского областного суда</t>
  </si>
  <si>
    <t>471 00 00</t>
  </si>
  <si>
    <t>471 98 00</t>
  </si>
  <si>
    <t>Поликлиники, амбулатории, диагностические центры</t>
  </si>
  <si>
    <t>Периодическая печать и издательства</t>
  </si>
  <si>
    <t>1202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</si>
  <si>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</t>
  </si>
  <si>
    <t>Обеспечение жильем граждан, уволенных с военной службы (службы), и приравненных к ним лиц</t>
  </si>
  <si>
    <t>521 02 01</t>
  </si>
  <si>
    <t>521 02 02</t>
  </si>
  <si>
    <t>521 02 23</t>
  </si>
  <si>
    <t>521 02 28</t>
  </si>
  <si>
    <t>521 02 32</t>
  </si>
  <si>
    <t>521 02 35</t>
  </si>
  <si>
    <t>521 02 36</t>
  </si>
  <si>
    <t>521 02 00</t>
  </si>
  <si>
    <t>521 02 18</t>
  </si>
  <si>
    <t>Органы юстиции</t>
  </si>
  <si>
    <t>0304</t>
  </si>
  <si>
    <t>Автомобильный транспорт</t>
  </si>
  <si>
    <t>Отдельные мероприятия в области автомобильного транспорта</t>
  </si>
  <si>
    <t>303 00 00</t>
  </si>
  <si>
    <t>303 02 00</t>
  </si>
  <si>
    <t>521 01 02</t>
  </si>
  <si>
    <t>Благоустройство</t>
  </si>
  <si>
    <t>Иные  межбюджетные трансферты</t>
  </si>
  <si>
    <t>0503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</si>
  <si>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</si>
  <si>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520 15 00</t>
  </si>
  <si>
    <t>520 15 03</t>
  </si>
  <si>
    <t>Осуществление отдельных государственных полномочий ЛО по принятию решения об освобождении детей-сирот и детей, оставшихся без попечения родителей, а также лиц из числа детей-сирот и детей, оставшихся без попечения родителей, на период пребывания в учреждениях для детей-сирот и детей, оставшихся без попечения родителей, в иных образовательных учреждениях, на военной службе по призыву, отбывающих срок наказания в виде лишения свободы, а также на период пребывания у опекунов (попечителей), в приемных семьях, в случае если в жилом помещении не проживают другие члены семьи, от платы за пользование жилым помещением (платы за наем), от платы за содержание и ремонт жилого помещения, включающей в себя плату за услуги и работы по управлению многоквартирным домом, содержанию и текущему ремонту общего имущества в многоквартирном доме, от платы за коммунальные услуги, от платы за определение технического состояния и оценку стоимости жилого помещения в случае передачи его в собственность</t>
  </si>
  <si>
    <t>Организация выплаты  вознаграждения,  причитающегося  приемному родителю</t>
  </si>
  <si>
    <t>Осуществление отдельных государственных полномочий  по исполнению  органами  местного   самоуправления Ленинградской области  части функций  по исполнению  областного  бюджета Ленинградской области</t>
  </si>
  <si>
    <t xml:space="preserve">Субвенции бюджетам муниципальных образований для финансового обеспечения расходных обязательств муниципальных  образований, возникающих при  выполнении  полномочий  Российской  Федерации, субъектов Российской Федерации, переданных для осуществления органам местного самоуправления в установленном порядке  </t>
  </si>
  <si>
    <t xml:space="preserve">Субсидии  бюджетам  муниципальных  образований  для софинансирования  расходных   обязательств, возникающих при выполнении полномочий  органов  местного самоуправления по вопросам местного значения  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</si>
  <si>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пригородном(в сельской местности-на внутрирайонном) транспорте(кроме такси), а также бесплатным проездом один раз в год к месту жительства и обратно к месту учебы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</si>
  <si>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</si>
  <si>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Меры социальной поддержки инвалидов, получивших транспортные средства бесплатно или приобретших их на льготных условиях; инвалидов войны I и II групп, приобретших транспортные средства за полную стоимость; инвалидов вследствие общего заболевания; инвалидов с детства, детей-инвалидов, имеющих медицинские показания на обеспечение транспортными средствами и приобретших их самостоятельно, в части выплаты денежной компенсации расходов на бензин, ремонт, ТО транспортных средств и запасные части к ним</t>
  </si>
  <si>
    <t>219 00 00</t>
  </si>
  <si>
    <t>219 01 00</t>
  </si>
  <si>
    <t>Мероприятия по гражданской обороне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</si>
  <si>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</si>
  <si>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522 64 00</t>
  </si>
  <si>
    <t>522 64 04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</si>
  <si>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учебные пособия, технические средства обучения, расходные материалы и хозяйственные нужды</t>
  </si>
  <si>
    <t>440 00 00</t>
  </si>
  <si>
    <t>440 02 00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</si>
  <si>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</si>
  <si>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</si>
  <si>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315 00 00</t>
  </si>
  <si>
    <t>315 01 00</t>
  </si>
  <si>
    <t>315 01 02</t>
  </si>
  <si>
    <t>Дорожное хозяйство</t>
  </si>
  <si>
    <t>Содержание и управление дорожным хозяйством</t>
  </si>
  <si>
    <t>Капитальный ремонт (ремонт) автомобильных дорог местного значения и искусственных сооружений на них</t>
  </si>
  <si>
    <t>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</t>
  </si>
  <si>
    <t>Подготовка населения и организаций к действиям в чрезвычайной ситуации в мирное и военное время</t>
  </si>
  <si>
    <t>Долгосрочная  целевая программа  "Предупреждение и борьба с социально  значимыми заболеваниями, обеспечение   безопасного материнства и детства в Ленинградской  области  на  2009-2012годы"</t>
  </si>
  <si>
    <t>Подпрограмма "Развитие материально-технической базы учреждений здравоохранения"</t>
  </si>
  <si>
    <t>0904</t>
  </si>
  <si>
    <t>Скорая медицинская помощь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</si>
  <si>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за  счет средств областного бюджета</t>
  </si>
  <si>
    <t>522 17 02</t>
  </si>
  <si>
    <t>522 17 03</t>
  </si>
  <si>
    <t>Субсидии муниципальным образованиям для оказания государственной  поддержки молодым  гражданам,  нуждающимся  в улучшении жилищных  условий,  на  строительство  (приобретение) жилья</t>
  </si>
  <si>
    <t>Субсидии  для   оказания гос. поддержки  молодым гражданам,  нуждающимся  в улучшении жилищных  условий, на  строительство (приобретение) жилья в рамках подпрограммы "Обеспечение жильем молодых  семей" ФЦП Жилище" на 2011-2015 годы"</t>
  </si>
  <si>
    <t>Долгосрочная целевая программа "Чистая вода Ленинградской области на 2011-2017 годы"</t>
  </si>
  <si>
    <t>522 11 00</t>
  </si>
  <si>
    <t>070 04 00</t>
  </si>
  <si>
    <t>Резервные фонды исполнительных органов государственной власти субъектов Российской Федерации</t>
  </si>
  <si>
    <t>521 01 06</t>
  </si>
  <si>
    <t>521 01 14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</si>
  <si>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</si>
  <si>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521 02 21</t>
  </si>
  <si>
    <t>521 03 07</t>
  </si>
  <si>
    <t>Долгосрочная целевая программа "Дети Ленинградской области на 2011-2013 г.г."</t>
  </si>
  <si>
    <t>Долгосрочная целевая программа "Комплексные меры противодействия злоупотреблению наркотиками и их незаконному обороту на территории Ленинградской области на 2012-2015 годы"</t>
  </si>
  <si>
    <t>522 12 00</t>
  </si>
  <si>
    <t>521 02 44</t>
  </si>
  <si>
    <t>Подготовка муниципальных общеобразовательных учреждений Ленинградской области к новому учебному году</t>
  </si>
  <si>
    <t>Содержание муниципальных детских домов</t>
  </si>
  <si>
    <t>Средства бюджетам муниципальных образований на подготовку и проведение мероприятий, посвященных Дню образования Ленинградской области</t>
  </si>
  <si>
    <t>521 02 45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</si>
  <si>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</si>
  <si>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0909</t>
  </si>
  <si>
    <t>Другие вопросы в области здравоохранения</t>
  </si>
  <si>
    <t>Предоставление социального обслуживания населению</t>
  </si>
  <si>
    <t>521 02 04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</si>
  <si>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</si>
  <si>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</si>
  <si>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505 34 02</t>
  </si>
  <si>
    <t>505 34 03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</si>
  <si>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</si>
  <si>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521 02 03</t>
  </si>
  <si>
    <t>Предоставление государственной социальной помощи в форме единовременной денежной  выплаты или натуральной помощи</t>
  </si>
  <si>
    <t>521 02 06</t>
  </si>
  <si>
    <t>521 02 07</t>
  </si>
  <si>
    <t>Выплата социального пособия и возмещение расходов на погребение</t>
  </si>
  <si>
    <t>521 02 09</t>
  </si>
  <si>
    <t>521 02 11</t>
  </si>
  <si>
    <t>521 02 12</t>
  </si>
  <si>
    <t>521 02 13</t>
  </si>
  <si>
    <t>521 02 14</t>
  </si>
  <si>
    <t>521 02 15</t>
  </si>
  <si>
    <t>521 02 16</t>
  </si>
  <si>
    <t>521 02 24</t>
  </si>
  <si>
    <t>521 02 30</t>
  </si>
  <si>
    <t>521 02 33</t>
  </si>
  <si>
    <t>521 02 34</t>
  </si>
  <si>
    <t>521 02 37</t>
  </si>
  <si>
    <t>521 02 38</t>
  </si>
  <si>
    <t>521 02 39</t>
  </si>
  <si>
    <t>521 02 40</t>
  </si>
  <si>
    <t>521 02 43</t>
  </si>
  <si>
    <t>505 21 00</t>
  </si>
  <si>
    <t>505 21 02</t>
  </si>
  <si>
    <t>520 13 13</t>
  </si>
  <si>
    <t>Субсидии некоммерческим организациям (за исключением государственных учреждений)</t>
  </si>
  <si>
    <t>520 15 02</t>
  </si>
  <si>
    <t>630</t>
  </si>
  <si>
    <t>Финансовая помощь советам ветеранов войны, труда, Вооруженных Сил, правоохранительных органов и бывших малолетних узников фашистских лагерей</t>
  </si>
  <si>
    <t>Организация социальной помощи и социальной защиты населения</t>
  </si>
  <si>
    <t>521 02 05</t>
  </si>
  <si>
    <t>521 03 14</t>
  </si>
  <si>
    <t>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осуществляется за счет средств бюджета Санкт-Петербурга</t>
  </si>
  <si>
    <t>Дорожное хозяйство (дорожные фонды)</t>
  </si>
  <si>
    <t>0409</t>
  </si>
  <si>
    <t>Долгосрочная целевая программа "Приоритетные направления развития образования Ленинградской области на 2011-2015 годы"</t>
  </si>
  <si>
    <t>Программа "Развитие образования МО "Кировский район Ленинградской области" на 2011-2015 годы"</t>
  </si>
  <si>
    <t>Мероприятия по оснащению приборами учета энергоресурсов муниципальных образовательных учреждений в рамках ДЦП</t>
  </si>
  <si>
    <t>Мероприятия направленные на реализацию ДЦП(образовательные учреждения)</t>
  </si>
  <si>
    <t>795 44 02</t>
  </si>
  <si>
    <t>795 44 06</t>
  </si>
  <si>
    <t>521 01 36</t>
  </si>
  <si>
    <t>Обеспечение стимулирующих выплат основному персоналу муниципальных музеев и библиотек</t>
  </si>
  <si>
    <t>096 00 00</t>
  </si>
  <si>
    <t>Реализация программы  модернизации здравоохранения  субъектов  Российской Федерации в части укрепления материально-технической  базы  медицинских учреждений</t>
  </si>
  <si>
    <t>096 01 00</t>
  </si>
  <si>
    <t>795 46 00</t>
  </si>
  <si>
    <t>Долгосрочная целевая программа "Безопасность учреждений здравоохранения муниципального образования Кировский муниципальный район Ленинградской области на 2011-2013 годы"</t>
  </si>
  <si>
    <t>522 41 01</t>
  </si>
  <si>
    <t>Строительство объектов в рамках реализации долгосрочной целевой программы "Социальное развитие села на 2009-2012 гг"</t>
  </si>
  <si>
    <t>Долгосрочная целевая программа "Социальное развитие села на 2009-2012 годы"</t>
  </si>
  <si>
    <t>522 41 00</t>
  </si>
  <si>
    <t>Осуществление отдельных государственных полномочий Ленинградской области в сфере охраны здоровья граждан"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</si>
  <si>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</si>
  <si>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Содержание детей сирот и детей, оставшихся без попечения родителей, в семьях опекунов (попечителей) и приемных семьях</t>
  </si>
  <si>
    <t>Компенсация части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</si>
  <si>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Софинансирование расходов на предоставление социальных выплат в рамках реализации мероприятий ДЦП "Жилье для молодежи" на 2012-2015 г.г.</t>
  </si>
  <si>
    <t>Мероприятия в области образования</t>
  </si>
  <si>
    <t>436 00 00</t>
  </si>
  <si>
    <t>Модернизация региональных систем общего образования</t>
  </si>
  <si>
    <t>436 21 00</t>
  </si>
  <si>
    <t>522 04 00</t>
  </si>
  <si>
    <t xml:space="preserve">Долгосрочная целевая программа «Развитие информационного общества в Ленинградской области» на 2011-2013 годы» </t>
  </si>
  <si>
    <t>092 03 44</t>
  </si>
  <si>
    <t>Расходы на оплату услуг по договору за размещение рекламы на главной странице сайта Леноблинформ</t>
  </si>
  <si>
    <t>Программа "Лето"</t>
  </si>
  <si>
    <t>(Приложение 9)</t>
  </si>
  <si>
    <t>классификации расходов бюджета на 2012 год</t>
  </si>
  <si>
    <t>Руководитель контрольно-счетной комиссии муниципального образования</t>
  </si>
  <si>
    <t>002 25 00</t>
  </si>
  <si>
    <t>002 04 20</t>
  </si>
  <si>
    <t>870</t>
  </si>
  <si>
    <t>Обеспечение выполнения функций казенными учреждениями</t>
  </si>
  <si>
    <t>Субсидии юридическим лицам (кроме государственных, муниципальных учреждений) и физическим лицам - производителям товаров, работ, услуг</t>
  </si>
  <si>
    <t>810</t>
  </si>
  <si>
    <t>540</t>
  </si>
  <si>
    <t>611</t>
  </si>
  <si>
    <t>795 03 00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</si>
  <si>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</si>
  <si>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 xml:space="preserve">Долгосрочная целевая программа "Дети Кировского района Ленинградской области" на 2011-2013 годы 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</si>
  <si>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</si>
  <si>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621</t>
  </si>
  <si>
    <t>322</t>
  </si>
  <si>
    <t>Субсидии гражданам на приобретение жилья</t>
  </si>
  <si>
    <t>Долгосрочная целевая программа "Дети Кировского района Ленинградской области" на 2011 - 2013 годы</t>
  </si>
  <si>
    <t>Долгосрочная целевая программа "Формирование доступной среды жизнедеятельности для инвалидов" на 2011-2013 годы.</t>
  </si>
  <si>
    <t>795 06 00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</si>
  <si>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</si>
  <si>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</si>
  <si>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419</t>
  </si>
  <si>
    <t>720</t>
  </si>
  <si>
    <t>Обслуживание муниципального долга</t>
  </si>
  <si>
    <t>511</t>
  </si>
  <si>
    <t>Дотации на выравнивание бюджетной обеспеченности субъектов Российской Федерации и муниципальных образований</t>
  </si>
  <si>
    <t>Резервные средства</t>
  </si>
  <si>
    <t>Долгосрочная целевая программа "Энергосбережение и повышение энергетической эффективности муниципального образования Кировский муниципальный район Ленинградской области на 2010-2012 годы и перспективу до 2020 года"</t>
  </si>
  <si>
    <t>795 44 00</t>
  </si>
  <si>
    <t>Мероприятия по оснащению приборами учета энергоресурсов  муниципальных дошкольных учреждений в рамках ДЦП</t>
  </si>
  <si>
    <t>795 44 01</t>
  </si>
  <si>
    <t>Долгосрочная целевая программа "Противопожарная безопасность учреждений культуры МО Кировский район Ленинградской области на 2011-2012 годы"</t>
  </si>
  <si>
    <t>Проектирование и монтаж охранно-пожарной сигнализации в учреждениях дополнительного образования (ДМХШ)  в рамках ДЦП "Противопожарная безопасность учреждений культуры МО Кировский район Ленинградской области на 2011-2012 годы"</t>
  </si>
  <si>
    <t>795 45 01</t>
  </si>
  <si>
    <t>795 45 00</t>
  </si>
  <si>
    <t>Долгосрочная целевая программа "Повышение безопасности дорожного движения в МО Кировский район Ленинградской области на 2011-2012 годы"</t>
  </si>
  <si>
    <t>795 43 00</t>
  </si>
  <si>
    <t>Проектирование и монтаж охранно-пожарной сигнализации в учреждениях культуры (МУК "ЦМБ")  в рамках ДЦП "Противопожарная безопасность учреждений культуры МО Кировский район Ленинградской области на 2011-2012 годы"</t>
  </si>
  <si>
    <t>795 45 02</t>
  </si>
  <si>
    <t xml:space="preserve">0800 </t>
  </si>
  <si>
    <t>Центры спортивной подготовки (сборные команды)</t>
  </si>
  <si>
    <t>482 00 00</t>
  </si>
  <si>
    <t>482 99 00</t>
  </si>
  <si>
    <t>000</t>
  </si>
  <si>
    <t>Содержание и обслуживание объектов имущества казны муниципального образования</t>
  </si>
  <si>
    <t>090 02 01</t>
  </si>
  <si>
    <t>090 02 02</t>
  </si>
  <si>
    <t>795 47 00</t>
  </si>
  <si>
    <t>Долгосрочная целевая программа "Благоустройство территорий образовательных учреждений МО Кировский район Ленинградской области на 2011-2013 годы"</t>
  </si>
  <si>
    <t>795 48 00</t>
  </si>
  <si>
    <t>Долгосрочная целевая программа "Безопасность образовательных учреждений МО Кировский район Ленинградской области на 2011-2012 годы"</t>
  </si>
  <si>
    <t>1300</t>
  </si>
  <si>
    <t>Обслуживание внутреннего государственного и муниципального долга</t>
  </si>
  <si>
    <t>1301</t>
  </si>
  <si>
    <t>0113</t>
  </si>
  <si>
    <t xml:space="preserve">Другие вопросы в области культуры и кинематографии </t>
  </si>
  <si>
    <t>Культура и кинематография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</si>
</sst>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16">
    <font>
      <sz val="10"/>
      <name val="Arial Cyr"/>
      <family val="0"/>
    </font>
    <font>
      <b/>
      <sz val="12"/>
      <name val="Arial Cyr"/>
      <family val="0"/>
    </font>
    <font>
      <sz val="8"/>
      <name val="MS Sans Serif"/>
      <family val="2"/>
    </font>
    <font>
      <b/>
      <i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2"/>
      <color indexed="8"/>
      <name val="Arial"/>
      <family val="0"/>
    </font>
    <font>
      <b/>
      <sz val="10"/>
      <name val="Arial Cyr"/>
      <family val="0"/>
    </font>
    <font>
      <i/>
      <sz val="10"/>
      <color indexed="8"/>
      <name val="Arial"/>
      <family val="0"/>
    </font>
    <font>
      <i/>
      <sz val="10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Tahoma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wrapText="1"/>
    </xf>
    <xf numFmtId="49" fontId="1" fillId="0" borderId="3" xfId="0" applyNumberFormat="1" applyFont="1" applyFill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center" wrapText="1"/>
    </xf>
    <xf numFmtId="168" fontId="1" fillId="0" borderId="4" xfId="0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left" wrapText="1"/>
    </xf>
    <xf numFmtId="49" fontId="3" fillId="0" borderId="6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168" fontId="1" fillId="0" borderId="7" xfId="0" applyNumberFormat="1" applyFont="1" applyFill="1" applyBorder="1" applyAlignment="1">
      <alignment horizontal="right"/>
    </xf>
    <xf numFmtId="49" fontId="3" fillId="0" borderId="8" xfId="0" applyNumberFormat="1" applyFont="1" applyFill="1" applyBorder="1" applyAlignment="1">
      <alignment horizontal="left" wrapText="1"/>
    </xf>
    <xf numFmtId="49" fontId="3" fillId="0" borderId="9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68" fontId="1" fillId="0" borderId="10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left" wrapText="1"/>
    </xf>
    <xf numFmtId="49" fontId="4" fillId="0" borderId="12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wrapText="1"/>
    </xf>
    <xf numFmtId="168" fontId="4" fillId="0" borderId="13" xfId="0" applyNumberFormat="1" applyFont="1" applyFill="1" applyBorder="1" applyAlignment="1">
      <alignment horizontal="right"/>
    </xf>
    <xf numFmtId="49" fontId="4" fillId="0" borderId="2" xfId="0" applyNumberFormat="1" applyFont="1" applyFill="1" applyBorder="1" applyAlignment="1">
      <alignment horizontal="left" wrapText="1"/>
    </xf>
    <xf numFmtId="49" fontId="4" fillId="0" borderId="3" xfId="0" applyNumberFormat="1" applyFont="1" applyFill="1" applyBorder="1" applyAlignment="1">
      <alignment horizontal="center" wrapText="1"/>
    </xf>
    <xf numFmtId="49" fontId="4" fillId="0" borderId="4" xfId="0" applyNumberFormat="1" applyFont="1" applyFill="1" applyBorder="1" applyAlignment="1">
      <alignment horizontal="center" wrapText="1"/>
    </xf>
    <xf numFmtId="168" fontId="4" fillId="0" borderId="4" xfId="0" applyNumberFormat="1" applyFont="1" applyFill="1" applyBorder="1" applyAlignment="1">
      <alignment horizontal="right"/>
    </xf>
    <xf numFmtId="49" fontId="4" fillId="0" borderId="14" xfId="0" applyNumberFormat="1" applyFont="1" applyFill="1" applyBorder="1" applyAlignment="1">
      <alignment horizontal="left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168" fontId="4" fillId="0" borderId="16" xfId="0" applyNumberFormat="1" applyFont="1" applyFill="1" applyBorder="1" applyAlignment="1">
      <alignment horizontal="right"/>
    </xf>
    <xf numFmtId="49" fontId="3" fillId="0" borderId="2" xfId="0" applyNumberFormat="1" applyFont="1" applyFill="1" applyBorder="1" applyAlignment="1">
      <alignment horizontal="left" wrapText="1"/>
    </xf>
    <xf numFmtId="49" fontId="3" fillId="0" borderId="3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left" wrapText="1"/>
    </xf>
    <xf numFmtId="49" fontId="4" fillId="0" borderId="18" xfId="0" applyNumberFormat="1" applyFont="1" applyFill="1" applyBorder="1" applyAlignment="1">
      <alignment horizontal="center" wrapText="1"/>
    </xf>
    <xf numFmtId="168" fontId="4" fillId="0" borderId="18" xfId="0" applyNumberFormat="1" applyFont="1" applyFill="1" applyBorder="1" applyAlignment="1">
      <alignment horizontal="right"/>
    </xf>
    <xf numFmtId="49" fontId="3" fillId="0" borderId="2" xfId="0" applyNumberFormat="1" applyFont="1" applyFill="1" applyBorder="1" applyAlignment="1">
      <alignment horizontal="left" wrapText="1"/>
    </xf>
    <xf numFmtId="49" fontId="3" fillId="0" borderId="6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left" wrapText="1"/>
    </xf>
    <xf numFmtId="49" fontId="4" fillId="0" borderId="7" xfId="0" applyNumberFormat="1" applyFont="1" applyFill="1" applyBorder="1" applyAlignment="1">
      <alignment horizontal="center" wrapText="1"/>
    </xf>
    <xf numFmtId="168" fontId="1" fillId="0" borderId="7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wrapText="1"/>
    </xf>
    <xf numFmtId="49" fontId="4" fillId="0" borderId="20" xfId="0" applyNumberFormat="1" applyFont="1" applyFill="1" applyBorder="1" applyAlignment="1">
      <alignment horizontal="center" wrapText="1"/>
    </xf>
    <xf numFmtId="168" fontId="4" fillId="0" borderId="21" xfId="0" applyNumberFormat="1" applyFont="1" applyFill="1" applyBorder="1" applyAlignment="1">
      <alignment horizontal="right"/>
    </xf>
    <xf numFmtId="49" fontId="3" fillId="0" borderId="22" xfId="0" applyNumberFormat="1" applyFont="1" applyFill="1" applyBorder="1" applyAlignment="1">
      <alignment horizontal="left" wrapText="1"/>
    </xf>
    <xf numFmtId="49" fontId="4" fillId="0" borderId="21" xfId="0" applyNumberFormat="1" applyFont="1" applyFill="1" applyBorder="1" applyAlignment="1">
      <alignment horizontal="center" wrapText="1"/>
    </xf>
    <xf numFmtId="49" fontId="3" fillId="0" borderId="23" xfId="0" applyNumberFormat="1" applyFont="1" applyFill="1" applyBorder="1" applyAlignment="1">
      <alignment horizontal="left" wrapText="1"/>
    </xf>
    <xf numFmtId="49" fontId="3" fillId="0" borderId="24" xfId="0" applyNumberFormat="1" applyFont="1" applyFill="1" applyBorder="1" applyAlignment="1">
      <alignment horizontal="center" wrapText="1"/>
    </xf>
    <xf numFmtId="49" fontId="1" fillId="0" borderId="25" xfId="0" applyNumberFormat="1" applyFont="1" applyFill="1" applyBorder="1" applyAlignment="1">
      <alignment horizontal="center" wrapText="1"/>
    </xf>
    <xf numFmtId="49" fontId="4" fillId="0" borderId="25" xfId="0" applyNumberFormat="1" applyFont="1" applyFill="1" applyBorder="1" applyAlignment="1">
      <alignment horizontal="center" wrapText="1"/>
    </xf>
    <xf numFmtId="168" fontId="1" fillId="0" borderId="25" xfId="0" applyNumberFormat="1" applyFont="1" applyFill="1" applyBorder="1" applyAlignment="1">
      <alignment horizontal="right"/>
    </xf>
    <xf numFmtId="49" fontId="1" fillId="0" borderId="5" xfId="0" applyNumberFormat="1" applyFont="1" applyFill="1" applyBorder="1" applyAlignment="1">
      <alignment horizontal="left" wrapText="1"/>
    </xf>
    <xf numFmtId="49" fontId="1" fillId="0" borderId="6" xfId="0" applyNumberFormat="1" applyFont="1" applyFill="1" applyBorder="1" applyAlignment="1">
      <alignment horizontal="center" wrapText="1"/>
    </xf>
    <xf numFmtId="49" fontId="3" fillId="0" borderId="23" xfId="0" applyNumberFormat="1" applyFont="1" applyFill="1" applyBorder="1" applyAlignment="1">
      <alignment horizontal="left" wrapText="1"/>
    </xf>
    <xf numFmtId="49" fontId="4" fillId="0" borderId="3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49" fontId="3" fillId="0" borderId="7" xfId="0" applyNumberFormat="1" applyFont="1" applyFill="1" applyBorder="1" applyAlignment="1">
      <alignment horizontal="center" wrapText="1"/>
    </xf>
    <xf numFmtId="49" fontId="3" fillId="0" borderId="26" xfId="0" applyNumberFormat="1" applyFont="1" applyFill="1" applyBorder="1" applyAlignment="1">
      <alignment horizontal="left" wrapText="1"/>
    </xf>
    <xf numFmtId="49" fontId="1" fillId="0" borderId="7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168" fontId="1" fillId="0" borderId="27" xfId="0" applyNumberFormat="1" applyFont="1" applyFill="1" applyBorder="1" applyAlignment="1">
      <alignment horizontal="right"/>
    </xf>
    <xf numFmtId="49" fontId="4" fillId="0" borderId="4" xfId="0" applyNumberFormat="1" applyFont="1" applyFill="1" applyBorder="1" applyAlignment="1">
      <alignment horizontal="center" wrapText="1"/>
    </xf>
    <xf numFmtId="168" fontId="4" fillId="0" borderId="4" xfId="0" applyNumberFormat="1" applyFont="1" applyFill="1" applyBorder="1" applyAlignment="1">
      <alignment horizontal="right"/>
    </xf>
    <xf numFmtId="49" fontId="4" fillId="0" borderId="28" xfId="0" applyNumberFormat="1" applyFont="1" applyFill="1" applyBorder="1" applyAlignment="1">
      <alignment horizontal="left" wrapText="1"/>
    </xf>
    <xf numFmtId="168" fontId="4" fillId="0" borderId="20" xfId="0" applyNumberFormat="1" applyFont="1" applyFill="1" applyBorder="1" applyAlignment="1">
      <alignment horizontal="right"/>
    </xf>
    <xf numFmtId="168" fontId="4" fillId="0" borderId="29" xfId="0" applyNumberFormat="1" applyFont="1" applyFill="1" applyBorder="1" applyAlignment="1">
      <alignment horizontal="right" wrapText="1"/>
    </xf>
    <xf numFmtId="49" fontId="3" fillId="0" borderId="8" xfId="0" applyNumberFormat="1" applyFont="1" applyFill="1" applyBorder="1" applyAlignment="1">
      <alignment horizontal="left" wrapText="1"/>
    </xf>
    <xf numFmtId="49" fontId="3" fillId="0" borderId="25" xfId="0" applyNumberFormat="1" applyFont="1" applyFill="1" applyBorder="1" applyAlignment="1">
      <alignment horizontal="center" wrapText="1"/>
    </xf>
    <xf numFmtId="168" fontId="4" fillId="0" borderId="30" xfId="0" applyNumberFormat="1" applyFont="1" applyFill="1" applyBorder="1" applyAlignment="1">
      <alignment horizontal="right" wrapText="1"/>
    </xf>
    <xf numFmtId="49" fontId="4" fillId="0" borderId="31" xfId="0" applyNumberFormat="1" applyFont="1" applyFill="1" applyBorder="1" applyAlignment="1">
      <alignment horizontal="center" wrapText="1"/>
    </xf>
    <xf numFmtId="49" fontId="3" fillId="0" borderId="22" xfId="0" applyNumberFormat="1" applyFont="1" applyFill="1" applyBorder="1" applyAlignment="1">
      <alignment horizontal="left" wrapText="1"/>
    </xf>
    <xf numFmtId="49" fontId="3" fillId="0" borderId="31" xfId="0" applyNumberFormat="1" applyFont="1" applyFill="1" applyBorder="1" applyAlignment="1">
      <alignment horizontal="center" wrapText="1"/>
    </xf>
    <xf numFmtId="49" fontId="1" fillId="0" borderId="21" xfId="0" applyNumberFormat="1" applyFont="1" applyFill="1" applyBorder="1" applyAlignment="1">
      <alignment horizontal="center" wrapText="1"/>
    </xf>
    <xf numFmtId="168" fontId="1" fillId="0" borderId="21" xfId="0" applyNumberFormat="1" applyFont="1" applyFill="1" applyBorder="1" applyAlignment="1">
      <alignment horizontal="right"/>
    </xf>
    <xf numFmtId="49" fontId="4" fillId="0" borderId="22" xfId="0" applyNumberFormat="1" applyFont="1" applyFill="1" applyBorder="1" applyAlignment="1">
      <alignment horizontal="left" wrapText="1"/>
    </xf>
    <xf numFmtId="49" fontId="1" fillId="0" borderId="24" xfId="0" applyNumberFormat="1" applyFont="1" applyFill="1" applyBorder="1" applyAlignment="1">
      <alignment horizontal="center" wrapText="1"/>
    </xf>
    <xf numFmtId="49" fontId="1" fillId="0" borderId="25" xfId="0" applyNumberFormat="1" applyFont="1" applyFill="1" applyBorder="1" applyAlignment="1">
      <alignment horizontal="center" wrapText="1"/>
    </xf>
    <xf numFmtId="168" fontId="4" fillId="0" borderId="25" xfId="0" applyNumberFormat="1" applyFont="1" applyFill="1" applyBorder="1" applyAlignment="1">
      <alignment horizontal="right"/>
    </xf>
    <xf numFmtId="168" fontId="1" fillId="0" borderId="25" xfId="0" applyNumberFormat="1" applyFont="1" applyFill="1" applyBorder="1" applyAlignment="1">
      <alignment horizontal="right"/>
    </xf>
    <xf numFmtId="49" fontId="3" fillId="0" borderId="20" xfId="0" applyNumberFormat="1" applyFont="1" applyFill="1" applyBorder="1" applyAlignment="1">
      <alignment horizontal="center" wrapText="1"/>
    </xf>
    <xf numFmtId="49" fontId="3" fillId="0" borderId="32" xfId="0" applyNumberFormat="1" applyFont="1" applyFill="1" applyBorder="1" applyAlignment="1">
      <alignment horizontal="center" wrapText="1"/>
    </xf>
    <xf numFmtId="49" fontId="3" fillId="0" borderId="20" xfId="0" applyNumberFormat="1" applyFont="1" applyFill="1" applyBorder="1" applyAlignment="1">
      <alignment horizontal="center" wrapText="1"/>
    </xf>
    <xf numFmtId="168" fontId="3" fillId="0" borderId="20" xfId="0" applyNumberFormat="1" applyFont="1" applyFill="1" applyBorder="1" applyAlignment="1">
      <alignment horizontal="right"/>
    </xf>
    <xf numFmtId="49" fontId="1" fillId="0" borderId="4" xfId="0" applyNumberFormat="1" applyFont="1" applyFill="1" applyBorder="1" applyAlignment="1">
      <alignment horizontal="center" wrapText="1"/>
    </xf>
    <xf numFmtId="0" fontId="3" fillId="0" borderId="5" xfId="0" applyNumberFormat="1" applyFont="1" applyFill="1" applyBorder="1" applyAlignment="1">
      <alignment horizontal="left" wrapText="1"/>
    </xf>
    <xf numFmtId="49" fontId="4" fillId="0" borderId="5" xfId="0" applyNumberFormat="1" applyFont="1" applyFill="1" applyBorder="1" applyAlignment="1">
      <alignment horizontal="left" wrapText="1"/>
    </xf>
    <xf numFmtId="49" fontId="4" fillId="0" borderId="6" xfId="0" applyNumberFormat="1" applyFont="1" applyFill="1" applyBorder="1" applyAlignment="1">
      <alignment horizontal="center" wrapText="1"/>
    </xf>
    <xf numFmtId="168" fontId="4" fillId="0" borderId="7" xfId="0" applyNumberFormat="1" applyFont="1" applyFill="1" applyBorder="1" applyAlignment="1">
      <alignment horizontal="right"/>
    </xf>
    <xf numFmtId="168" fontId="4" fillId="0" borderId="21" xfId="0" applyNumberFormat="1" applyFont="1" applyFill="1" applyBorder="1" applyAlignment="1">
      <alignment horizontal="right"/>
    </xf>
    <xf numFmtId="49" fontId="3" fillId="0" borderId="25" xfId="0" applyNumberFormat="1" applyFont="1" applyFill="1" applyBorder="1" applyAlignment="1">
      <alignment horizontal="center" wrapText="1"/>
    </xf>
    <xf numFmtId="49" fontId="4" fillId="0" borderId="25" xfId="0" applyNumberFormat="1" applyFont="1" applyFill="1" applyBorder="1" applyAlignment="1">
      <alignment horizontal="center" wrapText="1"/>
    </xf>
    <xf numFmtId="168" fontId="1" fillId="0" borderId="33" xfId="0" applyNumberFormat="1" applyFont="1" applyFill="1" applyBorder="1" applyAlignment="1">
      <alignment horizontal="right" wrapText="1"/>
    </xf>
    <xf numFmtId="49" fontId="4" fillId="0" borderId="7" xfId="0" applyNumberFormat="1" applyFont="1" applyFill="1" applyBorder="1" applyAlignment="1">
      <alignment horizontal="center" wrapText="1"/>
    </xf>
    <xf numFmtId="168" fontId="1" fillId="0" borderId="34" xfId="0" applyNumberFormat="1" applyFont="1" applyFill="1" applyBorder="1" applyAlignment="1">
      <alignment horizontal="right" wrapText="1"/>
    </xf>
    <xf numFmtId="49" fontId="4" fillId="0" borderId="13" xfId="0" applyNumberFormat="1" applyFont="1" applyFill="1" applyBorder="1" applyAlignment="1">
      <alignment horizontal="center" wrapText="1"/>
    </xf>
    <xf numFmtId="49" fontId="3" fillId="0" borderId="7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168" fontId="4" fillId="0" borderId="35" xfId="0" applyNumberFormat="1" applyFont="1" applyFill="1" applyBorder="1" applyAlignment="1">
      <alignment horizontal="right" wrapText="1"/>
    </xf>
    <xf numFmtId="49" fontId="1" fillId="0" borderId="36" xfId="0" applyNumberFormat="1" applyFont="1" applyFill="1" applyBorder="1" applyAlignment="1">
      <alignment horizontal="left" wrapText="1"/>
    </xf>
    <xf numFmtId="49" fontId="1" fillId="0" borderId="36" xfId="0" applyNumberFormat="1" applyFont="1" applyFill="1" applyBorder="1" applyAlignment="1">
      <alignment horizontal="center" wrapText="1"/>
    </xf>
    <xf numFmtId="168" fontId="1" fillId="0" borderId="36" xfId="0" applyNumberFormat="1" applyFont="1" applyFill="1" applyBorder="1" applyAlignment="1">
      <alignment horizontal="right"/>
    </xf>
    <xf numFmtId="0" fontId="6" fillId="2" borderId="37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wrapText="1"/>
    </xf>
    <xf numFmtId="168" fontId="3" fillId="0" borderId="21" xfId="0" applyNumberFormat="1" applyFont="1" applyFill="1" applyBorder="1" applyAlignment="1">
      <alignment horizontal="right"/>
    </xf>
    <xf numFmtId="168" fontId="4" fillId="0" borderId="18" xfId="0" applyNumberFormat="1" applyFont="1" applyFill="1" applyBorder="1" applyAlignment="1">
      <alignment horizontal="right"/>
    </xf>
    <xf numFmtId="49" fontId="3" fillId="0" borderId="28" xfId="0" applyNumberFormat="1" applyFont="1" applyFill="1" applyBorder="1" applyAlignment="1">
      <alignment horizontal="left" wrapText="1"/>
    </xf>
    <xf numFmtId="49" fontId="1" fillId="0" borderId="20" xfId="0" applyNumberFormat="1" applyFont="1" applyFill="1" applyBorder="1" applyAlignment="1">
      <alignment horizontal="center" wrapText="1"/>
    </xf>
    <xf numFmtId="168" fontId="1" fillId="0" borderId="20" xfId="0" applyNumberFormat="1" applyFont="1" applyFill="1" applyBorder="1" applyAlignment="1">
      <alignment horizontal="right"/>
    </xf>
    <xf numFmtId="168" fontId="4" fillId="0" borderId="3" xfId="0" applyNumberFormat="1" applyFont="1" applyFill="1" applyBorder="1" applyAlignment="1">
      <alignment horizontal="right"/>
    </xf>
    <xf numFmtId="168" fontId="1" fillId="0" borderId="6" xfId="0" applyNumberFormat="1" applyFont="1" applyFill="1" applyBorder="1" applyAlignment="1">
      <alignment horizontal="right"/>
    </xf>
    <xf numFmtId="168" fontId="1" fillId="0" borderId="3" xfId="0" applyNumberFormat="1" applyFont="1" applyFill="1" applyBorder="1" applyAlignment="1">
      <alignment horizontal="right"/>
    </xf>
    <xf numFmtId="168" fontId="4" fillId="0" borderId="12" xfId="0" applyNumberFormat="1" applyFont="1" applyFill="1" applyBorder="1" applyAlignment="1">
      <alignment horizontal="right"/>
    </xf>
    <xf numFmtId="168" fontId="1" fillId="0" borderId="7" xfId="0" applyNumberFormat="1" applyFont="1" applyFill="1" applyBorder="1" applyAlignment="1">
      <alignment horizontal="right" wrapText="1"/>
    </xf>
    <xf numFmtId="168" fontId="4" fillId="0" borderId="18" xfId="0" applyNumberFormat="1" applyFont="1" applyFill="1" applyBorder="1" applyAlignment="1">
      <alignment horizontal="right" wrapText="1"/>
    </xf>
    <xf numFmtId="168" fontId="4" fillId="0" borderId="13" xfId="0" applyNumberFormat="1" applyFont="1" applyFill="1" applyBorder="1" applyAlignment="1">
      <alignment horizontal="right" wrapText="1"/>
    </xf>
    <xf numFmtId="0" fontId="3" fillId="0" borderId="28" xfId="0" applyNumberFormat="1" applyFont="1" applyFill="1" applyBorder="1" applyAlignment="1">
      <alignment horizontal="left" vertical="center" wrapText="1"/>
    </xf>
    <xf numFmtId="0" fontId="3" fillId="0" borderId="5" xfId="0" applyNumberFormat="1" applyFont="1" applyFill="1" applyBorder="1" applyAlignment="1">
      <alignment horizontal="left" vertical="center" wrapText="1"/>
    </xf>
    <xf numFmtId="0" fontId="4" fillId="0" borderId="28" xfId="0" applyNumberFormat="1" applyFont="1" applyFill="1" applyBorder="1" applyAlignment="1">
      <alignment horizontal="left" vertical="center" wrapText="1"/>
    </xf>
    <xf numFmtId="49" fontId="3" fillId="0" borderId="32" xfId="0" applyNumberFormat="1" applyFont="1" applyFill="1" applyBorder="1" applyAlignment="1">
      <alignment horizontal="center" wrapText="1"/>
    </xf>
    <xf numFmtId="49" fontId="1" fillId="0" borderId="20" xfId="0" applyNumberFormat="1" applyFont="1" applyFill="1" applyBorder="1" applyAlignment="1">
      <alignment horizontal="center" wrapText="1"/>
    </xf>
    <xf numFmtId="49" fontId="4" fillId="0" borderId="20" xfId="0" applyNumberFormat="1" applyFont="1" applyFill="1" applyBorder="1" applyAlignment="1">
      <alignment horizontal="center" wrapText="1"/>
    </xf>
    <xf numFmtId="49" fontId="4" fillId="0" borderId="32" xfId="0" applyNumberFormat="1" applyFont="1" applyFill="1" applyBorder="1" applyAlignment="1">
      <alignment horizontal="center" wrapText="1"/>
    </xf>
    <xf numFmtId="168" fontId="4" fillId="0" borderId="40" xfId="0" applyNumberFormat="1" applyFont="1" applyFill="1" applyBorder="1" applyAlignment="1">
      <alignment horizontal="right" wrapText="1"/>
    </xf>
    <xf numFmtId="168" fontId="1" fillId="0" borderId="33" xfId="0" applyNumberFormat="1" applyFont="1" applyFill="1" applyBorder="1" applyAlignment="1">
      <alignment horizontal="right" wrapText="1"/>
    </xf>
    <xf numFmtId="168" fontId="1" fillId="0" borderId="34" xfId="0" applyNumberFormat="1" applyFont="1" applyFill="1" applyBorder="1" applyAlignment="1">
      <alignment horizontal="right" wrapText="1"/>
    </xf>
    <xf numFmtId="168" fontId="4" fillId="0" borderId="41" xfId="0" applyNumberFormat="1" applyFont="1" applyFill="1" applyBorder="1" applyAlignment="1">
      <alignment horizontal="right" wrapText="1"/>
    </xf>
    <xf numFmtId="168" fontId="4" fillId="0" borderId="42" xfId="0" applyNumberFormat="1" applyFont="1" applyFill="1" applyBorder="1" applyAlignment="1">
      <alignment horizontal="right" wrapText="1"/>
    </xf>
    <xf numFmtId="0" fontId="3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168" fontId="3" fillId="0" borderId="4" xfId="0" applyNumberFormat="1" applyFont="1" applyFill="1" applyBorder="1" applyAlignment="1">
      <alignment horizontal="right"/>
    </xf>
    <xf numFmtId="168" fontId="3" fillId="0" borderId="25" xfId="0" applyNumberFormat="1" applyFont="1" applyFill="1" applyBorder="1" applyAlignment="1">
      <alignment horizontal="right"/>
    </xf>
    <xf numFmtId="168" fontId="3" fillId="0" borderId="20" xfId="0" applyNumberFormat="1" applyFont="1" applyFill="1" applyBorder="1" applyAlignment="1">
      <alignment horizontal="right"/>
    </xf>
    <xf numFmtId="49" fontId="3" fillId="0" borderId="21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wrapText="1"/>
    </xf>
    <xf numFmtId="168" fontId="1" fillId="0" borderId="4" xfId="0" applyNumberFormat="1" applyFont="1" applyFill="1" applyBorder="1" applyAlignment="1">
      <alignment horizontal="right" wrapText="1"/>
    </xf>
    <xf numFmtId="168" fontId="4" fillId="0" borderId="4" xfId="0" applyNumberFormat="1" applyFont="1" applyFill="1" applyBorder="1" applyAlignment="1">
      <alignment horizontal="right" wrapText="1"/>
    </xf>
    <xf numFmtId="168" fontId="1" fillId="0" borderId="30" xfId="0" applyNumberFormat="1" applyFont="1" applyFill="1" applyBorder="1" applyAlignment="1">
      <alignment horizontal="right" wrapText="1"/>
    </xf>
    <xf numFmtId="168" fontId="4" fillId="0" borderId="43" xfId="0" applyNumberFormat="1" applyFont="1" applyFill="1" applyBorder="1" applyAlignment="1">
      <alignment horizontal="right" wrapText="1"/>
    </xf>
    <xf numFmtId="168" fontId="1" fillId="0" borderId="25" xfId="0" applyNumberFormat="1" applyFont="1" applyFill="1" applyBorder="1" applyAlignment="1">
      <alignment horizontal="right" wrapText="1"/>
    </xf>
    <xf numFmtId="168" fontId="4" fillId="0" borderId="44" xfId="0" applyNumberFormat="1" applyFont="1" applyFill="1" applyBorder="1" applyAlignment="1">
      <alignment horizontal="right" wrapText="1"/>
    </xf>
    <xf numFmtId="168" fontId="4" fillId="0" borderId="25" xfId="0" applyNumberFormat="1" applyFont="1" applyFill="1" applyBorder="1" applyAlignment="1">
      <alignment horizontal="right" wrapText="1"/>
    </xf>
    <xf numFmtId="168" fontId="1" fillId="0" borderId="25" xfId="0" applyNumberFormat="1" applyFont="1" applyFill="1" applyBorder="1" applyAlignment="1">
      <alignment horizontal="right" wrapText="1"/>
    </xf>
    <xf numFmtId="168" fontId="4" fillId="0" borderId="21" xfId="0" applyNumberFormat="1" applyFont="1" applyFill="1" applyBorder="1" applyAlignment="1">
      <alignment horizontal="right" wrapText="1"/>
    </xf>
    <xf numFmtId="168" fontId="4" fillId="0" borderId="7" xfId="0" applyNumberFormat="1" applyFont="1" applyFill="1" applyBorder="1" applyAlignment="1">
      <alignment horizontal="right" wrapText="1"/>
    </xf>
    <xf numFmtId="168" fontId="4" fillId="0" borderId="45" xfId="0" applyNumberFormat="1" applyFont="1" applyFill="1" applyBorder="1" applyAlignment="1">
      <alignment horizontal="right" wrapText="1"/>
    </xf>
    <xf numFmtId="168" fontId="4" fillId="0" borderId="46" xfId="0" applyNumberFormat="1" applyFont="1" applyFill="1" applyBorder="1" applyAlignment="1">
      <alignment horizontal="right" wrapText="1"/>
    </xf>
    <xf numFmtId="0" fontId="3" fillId="0" borderId="5" xfId="0" applyNumberFormat="1" applyFont="1" applyFill="1" applyBorder="1" applyAlignment="1">
      <alignment horizontal="left" wrapText="1"/>
    </xf>
    <xf numFmtId="168" fontId="4" fillId="0" borderId="34" xfId="0" applyNumberFormat="1" applyFont="1" applyFill="1" applyBorder="1" applyAlignment="1">
      <alignment horizontal="right" wrapText="1"/>
    </xf>
    <xf numFmtId="168" fontId="4" fillId="0" borderId="47" xfId="0" applyNumberFormat="1" applyFont="1" applyFill="1" applyBorder="1" applyAlignment="1">
      <alignment horizontal="right" wrapText="1"/>
    </xf>
    <xf numFmtId="168" fontId="4" fillId="0" borderId="13" xfId="0" applyNumberFormat="1" applyFont="1" applyFill="1" applyBorder="1" applyAlignment="1">
      <alignment horizontal="right" wrapText="1"/>
    </xf>
    <xf numFmtId="168" fontId="4" fillId="0" borderId="18" xfId="0" applyNumberFormat="1" applyFont="1" applyFill="1" applyBorder="1" applyAlignment="1">
      <alignment horizontal="right" wrapText="1"/>
    </xf>
    <xf numFmtId="49" fontId="3" fillId="0" borderId="9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68" fontId="1" fillId="0" borderId="10" xfId="0" applyNumberFormat="1" applyFont="1" applyFill="1" applyBorder="1" applyAlignment="1">
      <alignment horizontal="right"/>
    </xf>
    <xf numFmtId="49" fontId="4" fillId="0" borderId="17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4" fillId="0" borderId="19" xfId="0" applyNumberFormat="1" applyFont="1" applyFill="1" applyBorder="1" applyAlignment="1">
      <alignment horizontal="center" wrapText="1"/>
    </xf>
    <xf numFmtId="0" fontId="3" fillId="0" borderId="8" xfId="0" applyNumberFormat="1" applyFont="1" applyFill="1" applyBorder="1" applyAlignment="1">
      <alignment horizontal="left" wrapText="1"/>
    </xf>
    <xf numFmtId="0" fontId="10" fillId="0" borderId="0" xfId="0" applyFont="1" applyFill="1" applyAlignment="1">
      <alignment horizontal="right"/>
    </xf>
    <xf numFmtId="168" fontId="4" fillId="0" borderId="25" xfId="0" applyNumberFormat="1" applyFont="1" applyFill="1" applyBorder="1" applyAlignment="1">
      <alignment horizontal="right"/>
    </xf>
    <xf numFmtId="168" fontId="4" fillId="0" borderId="7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wrapText="1"/>
    </xf>
    <xf numFmtId="168" fontId="1" fillId="0" borderId="18" xfId="0" applyNumberFormat="1" applyFont="1" applyFill="1" applyBorder="1" applyAlignment="1">
      <alignment horizontal="right"/>
    </xf>
    <xf numFmtId="49" fontId="4" fillId="0" borderId="32" xfId="0" applyNumberFormat="1" applyFont="1" applyFill="1" applyBorder="1" applyAlignment="1">
      <alignment horizontal="center" wrapText="1"/>
    </xf>
    <xf numFmtId="168" fontId="3" fillId="0" borderId="7" xfId="0" applyNumberFormat="1" applyFont="1" applyFill="1" applyBorder="1" applyAlignment="1">
      <alignment horizontal="right"/>
    </xf>
    <xf numFmtId="0" fontId="3" fillId="0" borderId="23" xfId="0" applyNumberFormat="1" applyFont="1" applyFill="1" applyBorder="1" applyAlignment="1">
      <alignment horizontal="left" wrapText="1"/>
    </xf>
    <xf numFmtId="168" fontId="3" fillId="0" borderId="21" xfId="0" applyNumberFormat="1" applyFont="1" applyFill="1" applyBorder="1" applyAlignment="1">
      <alignment horizontal="right"/>
    </xf>
    <xf numFmtId="168" fontId="3" fillId="0" borderId="7" xfId="0" applyNumberFormat="1" applyFont="1" applyFill="1" applyBorder="1" applyAlignment="1">
      <alignment horizontal="right"/>
    </xf>
    <xf numFmtId="49" fontId="4" fillId="0" borderId="8" xfId="0" applyNumberFormat="1" applyFont="1" applyFill="1" applyBorder="1" applyAlignment="1">
      <alignment horizontal="left" wrapText="1"/>
    </xf>
    <xf numFmtId="49" fontId="4" fillId="0" borderId="9" xfId="0" applyNumberFormat="1" applyFont="1" applyFill="1" applyBorder="1" applyAlignment="1">
      <alignment horizontal="center" wrapText="1"/>
    </xf>
    <xf numFmtId="168" fontId="4" fillId="0" borderId="42" xfId="0" applyNumberFormat="1" applyFont="1" applyFill="1" applyBorder="1" applyAlignment="1">
      <alignment horizontal="right" wrapText="1"/>
    </xf>
    <xf numFmtId="49" fontId="1" fillId="0" borderId="32" xfId="0" applyNumberFormat="1" applyFont="1" applyFill="1" applyBorder="1" applyAlignment="1">
      <alignment horizontal="center" wrapText="1"/>
    </xf>
    <xf numFmtId="168" fontId="1" fillId="0" borderId="20" xfId="0" applyNumberFormat="1" applyFont="1" applyFill="1" applyBorder="1" applyAlignment="1">
      <alignment horizontal="right" wrapText="1"/>
    </xf>
    <xf numFmtId="168" fontId="4" fillId="0" borderId="10" xfId="0" applyNumberFormat="1" applyFont="1" applyFill="1" applyBorder="1" applyAlignment="1">
      <alignment horizontal="right"/>
    </xf>
    <xf numFmtId="49" fontId="3" fillId="0" borderId="4" xfId="0" applyNumberFormat="1" applyFont="1" applyFill="1" applyBorder="1" applyAlignment="1">
      <alignment horizontal="center" wrapText="1"/>
    </xf>
    <xf numFmtId="168" fontId="1" fillId="0" borderId="4" xfId="0" applyNumberFormat="1" applyFont="1" applyFill="1" applyBorder="1" applyAlignment="1">
      <alignment horizontal="right" wrapText="1"/>
    </xf>
    <xf numFmtId="4" fontId="13" fillId="0" borderId="48" xfId="0" applyNumberFormat="1" applyFont="1" applyFill="1" applyBorder="1" applyAlignment="1">
      <alignment horizontal="right" vertical="top" wrapText="1"/>
    </xf>
    <xf numFmtId="4" fontId="13" fillId="0" borderId="49" xfId="0" applyNumberFormat="1" applyFont="1" applyFill="1" applyBorder="1" applyAlignment="1">
      <alignment horizontal="right" vertical="top" wrapText="1"/>
    </xf>
    <xf numFmtId="168" fontId="1" fillId="0" borderId="32" xfId="0" applyNumberFormat="1" applyFont="1" applyFill="1" applyBorder="1" applyAlignment="1">
      <alignment horizontal="right" wrapText="1"/>
    </xf>
    <xf numFmtId="4" fontId="13" fillId="0" borderId="50" xfId="0" applyNumberFormat="1" applyFont="1" applyFill="1" applyBorder="1" applyAlignment="1">
      <alignment horizontal="right" vertical="top" wrapText="1"/>
    </xf>
    <xf numFmtId="49" fontId="13" fillId="0" borderId="4" xfId="0" applyNumberFormat="1" applyFont="1" applyFill="1" applyBorder="1" applyAlignment="1">
      <alignment horizontal="center" vertical="top" wrapText="1"/>
    </xf>
    <xf numFmtId="168" fontId="4" fillId="0" borderId="51" xfId="0" applyNumberFormat="1" applyFont="1" applyFill="1" applyBorder="1" applyAlignment="1">
      <alignment horizontal="right"/>
    </xf>
    <xf numFmtId="49" fontId="13" fillId="0" borderId="52" xfId="0" applyNumberFormat="1" applyFont="1" applyFill="1" applyBorder="1" applyAlignment="1">
      <alignment horizontal="left" vertical="top" wrapText="1"/>
    </xf>
    <xf numFmtId="49" fontId="14" fillId="0" borderId="23" xfId="0" applyNumberFormat="1" applyFont="1" applyFill="1" applyBorder="1" applyAlignment="1">
      <alignment horizontal="left" vertical="top" wrapText="1"/>
    </xf>
    <xf numFmtId="49" fontId="1" fillId="0" borderId="31" xfId="0" applyNumberFormat="1" applyFont="1" applyFill="1" applyBorder="1" applyAlignment="1">
      <alignment horizontal="center" wrapText="1"/>
    </xf>
    <xf numFmtId="49" fontId="3" fillId="0" borderId="43" xfId="0" applyNumberFormat="1" applyFont="1" applyFill="1" applyBorder="1" applyAlignment="1">
      <alignment horizontal="center" wrapText="1"/>
    </xf>
    <xf numFmtId="49" fontId="13" fillId="0" borderId="25" xfId="0" applyNumberFormat="1" applyFont="1" applyFill="1" applyBorder="1" applyAlignment="1">
      <alignment horizontal="center" vertical="top" wrapText="1"/>
    </xf>
    <xf numFmtId="4" fontId="13" fillId="0" borderId="53" xfId="0" applyNumberFormat="1" applyFont="1" applyFill="1" applyBorder="1" applyAlignment="1">
      <alignment horizontal="right" vertical="top" wrapText="1"/>
    </xf>
    <xf numFmtId="49" fontId="3" fillId="0" borderId="54" xfId="0" applyNumberFormat="1" applyFont="1" applyFill="1" applyBorder="1" applyAlignment="1">
      <alignment horizontal="left" wrapText="1"/>
    </xf>
    <xf numFmtId="168" fontId="4" fillId="0" borderId="53" xfId="0" applyNumberFormat="1" applyFont="1" applyFill="1" applyBorder="1" applyAlignment="1">
      <alignment horizontal="right" wrapText="1"/>
    </xf>
    <xf numFmtId="49" fontId="14" fillId="0" borderId="55" xfId="0" applyNumberFormat="1" applyFont="1" applyFill="1" applyBorder="1" applyAlignment="1">
      <alignment horizontal="left" vertical="top" wrapText="1"/>
    </xf>
    <xf numFmtId="49" fontId="13" fillId="0" borderId="18" xfId="0" applyNumberFormat="1" applyFont="1" applyFill="1" applyBorder="1" applyAlignment="1">
      <alignment horizontal="center" vertical="top" wrapText="1"/>
    </xf>
    <xf numFmtId="4" fontId="13" fillId="0" borderId="56" xfId="0" applyNumberFormat="1" applyFont="1" applyFill="1" applyBorder="1" applyAlignment="1">
      <alignment horizontal="right" vertical="top" wrapText="1"/>
    </xf>
    <xf numFmtId="49" fontId="13" fillId="0" borderId="20" xfId="0" applyNumberFormat="1" applyFont="1" applyFill="1" applyBorder="1" applyAlignment="1">
      <alignment horizontal="center" vertical="top" wrapText="1"/>
    </xf>
    <xf numFmtId="168" fontId="1" fillId="0" borderId="6" xfId="0" applyNumberFormat="1" applyFont="1" applyFill="1" applyBorder="1" applyAlignment="1">
      <alignment horizontal="right" wrapText="1"/>
    </xf>
    <xf numFmtId="168" fontId="1" fillId="0" borderId="51" xfId="0" applyNumberFormat="1" applyFont="1" applyFill="1" applyBorder="1" applyAlignment="1">
      <alignment horizontal="right" wrapText="1"/>
    </xf>
    <xf numFmtId="49" fontId="1" fillId="0" borderId="24" xfId="0" applyNumberFormat="1" applyFont="1" applyFill="1" applyBorder="1" applyAlignment="1">
      <alignment horizontal="center" wrapText="1"/>
    </xf>
    <xf numFmtId="49" fontId="4" fillId="0" borderId="23" xfId="0" applyNumberFormat="1" applyFont="1" applyFill="1" applyBorder="1" applyAlignment="1">
      <alignment horizontal="left" wrapText="1"/>
    </xf>
    <xf numFmtId="49" fontId="4" fillId="0" borderId="24" xfId="0" applyNumberFormat="1" applyFont="1" applyFill="1" applyBorder="1" applyAlignment="1">
      <alignment horizontal="center" wrapText="1"/>
    </xf>
    <xf numFmtId="0" fontId="3" fillId="0" borderId="22" xfId="0" applyNumberFormat="1" applyFont="1" applyFill="1" applyBorder="1" applyAlignment="1">
      <alignment horizontal="left" wrapText="1"/>
    </xf>
    <xf numFmtId="168" fontId="1" fillId="0" borderId="16" xfId="0" applyNumberFormat="1" applyFont="1" applyFill="1" applyBorder="1" applyAlignment="1">
      <alignment horizontal="right"/>
    </xf>
    <xf numFmtId="168" fontId="1" fillId="0" borderId="13" xfId="0" applyNumberFormat="1" applyFont="1" applyFill="1" applyBorder="1" applyAlignment="1">
      <alignment horizontal="right"/>
    </xf>
    <xf numFmtId="49" fontId="13" fillId="0" borderId="57" xfId="0" applyNumberFormat="1" applyFont="1" applyFill="1" applyBorder="1" applyAlignment="1">
      <alignment horizontal="left" vertical="top" wrapText="1"/>
    </xf>
    <xf numFmtId="49" fontId="13" fillId="0" borderId="55" xfId="0" applyNumberFormat="1" applyFont="1" applyFill="1" applyBorder="1" applyAlignment="1">
      <alignment horizontal="left" vertical="top" wrapText="1"/>
    </xf>
    <xf numFmtId="49" fontId="14" fillId="0" borderId="54" xfId="0" applyNumberFormat="1" applyFont="1" applyFill="1" applyBorder="1" applyAlignment="1">
      <alignment horizontal="left" vertical="top" wrapText="1"/>
    </xf>
    <xf numFmtId="0" fontId="14" fillId="0" borderId="54" xfId="0" applyNumberFormat="1" applyFont="1" applyFill="1" applyBorder="1" applyAlignment="1">
      <alignment horizontal="left" vertical="top" wrapText="1"/>
    </xf>
    <xf numFmtId="49" fontId="13" fillId="0" borderId="4" xfId="0" applyNumberFormat="1" applyFont="1" applyFill="1" applyBorder="1" applyAlignment="1">
      <alignment horizontal="center" wrapText="1"/>
    </xf>
    <xf numFmtId="49" fontId="13" fillId="0" borderId="18" xfId="0" applyNumberFormat="1" applyFont="1" applyFill="1" applyBorder="1" applyAlignment="1">
      <alignment horizontal="center" wrapText="1"/>
    </xf>
    <xf numFmtId="49" fontId="15" fillId="0" borderId="20" xfId="0" applyNumberFormat="1" applyFont="1" applyFill="1" applyBorder="1" applyAlignment="1">
      <alignment horizontal="center" vertical="top" wrapText="1"/>
    </xf>
    <xf numFmtId="49" fontId="14" fillId="0" borderId="57" xfId="0" applyNumberFormat="1" applyFont="1" applyFill="1" applyBorder="1" applyAlignment="1">
      <alignment horizontal="left" vertical="top" wrapText="1"/>
    </xf>
    <xf numFmtId="49" fontId="15" fillId="0" borderId="7" xfId="0" applyNumberFormat="1" applyFont="1" applyFill="1" applyBorder="1" applyAlignment="1">
      <alignment horizontal="center" wrapText="1"/>
    </xf>
    <xf numFmtId="49" fontId="13" fillId="0" borderId="7" xfId="0" applyNumberFormat="1" applyFont="1" applyFill="1" applyBorder="1" applyAlignment="1">
      <alignment horizontal="center" vertical="top" wrapText="1"/>
    </xf>
    <xf numFmtId="49" fontId="3" fillId="0" borderId="54" xfId="0" applyNumberFormat="1" applyFont="1" applyFill="1" applyBorder="1" applyAlignment="1">
      <alignment horizontal="left" wrapText="1"/>
    </xf>
    <xf numFmtId="49" fontId="3" fillId="0" borderId="57" xfId="0" applyNumberFormat="1" applyFont="1" applyFill="1" applyBorder="1" applyAlignment="1">
      <alignment horizontal="left" wrapText="1"/>
    </xf>
    <xf numFmtId="168" fontId="4" fillId="0" borderId="48" xfId="0" applyNumberFormat="1" applyFont="1" applyFill="1" applyBorder="1" applyAlignment="1">
      <alignment horizontal="right" wrapText="1"/>
    </xf>
    <xf numFmtId="49" fontId="4" fillId="0" borderId="58" xfId="0" applyNumberFormat="1" applyFont="1" applyFill="1" applyBorder="1" applyAlignment="1">
      <alignment horizontal="left" wrapText="1"/>
    </xf>
    <xf numFmtId="49" fontId="3" fillId="0" borderId="59" xfId="0" applyNumberFormat="1" applyFont="1" applyFill="1" applyBorder="1" applyAlignment="1">
      <alignment horizontal="left" wrapText="1"/>
    </xf>
    <xf numFmtId="49" fontId="3" fillId="0" borderId="60" xfId="0" applyNumberFormat="1" applyFont="1" applyFill="1" applyBorder="1" applyAlignment="1">
      <alignment horizontal="left" wrapText="1"/>
    </xf>
    <xf numFmtId="49" fontId="14" fillId="0" borderId="25" xfId="0" applyNumberFormat="1" applyFont="1" applyFill="1" applyBorder="1" applyAlignment="1">
      <alignment horizontal="left" vertical="top" wrapText="1"/>
    </xf>
    <xf numFmtId="4" fontId="13" fillId="0" borderId="25" xfId="0" applyNumberFormat="1" applyFont="1" applyFill="1" applyBorder="1" applyAlignment="1">
      <alignment horizontal="right" vertical="top" wrapText="1"/>
    </xf>
    <xf numFmtId="49" fontId="4" fillId="0" borderId="57" xfId="0" applyNumberFormat="1" applyFont="1" applyFill="1" applyBorder="1" applyAlignment="1">
      <alignment horizontal="left" wrapText="1"/>
    </xf>
    <xf numFmtId="168" fontId="4" fillId="0" borderId="7" xfId="0" applyNumberFormat="1" applyFont="1" applyFill="1" applyBorder="1" applyAlignment="1">
      <alignment horizontal="right" wrapText="1"/>
    </xf>
    <xf numFmtId="168" fontId="1" fillId="0" borderId="10" xfId="0" applyNumberFormat="1" applyFont="1" applyFill="1" applyBorder="1" applyAlignment="1">
      <alignment horizontal="right" wrapText="1"/>
    </xf>
    <xf numFmtId="49" fontId="4" fillId="0" borderId="61" xfId="0" applyNumberFormat="1" applyFont="1" applyFill="1" applyBorder="1" applyAlignment="1">
      <alignment horizontal="left" wrapText="1"/>
    </xf>
    <xf numFmtId="49" fontId="3" fillId="0" borderId="55" xfId="0" applyNumberFormat="1" applyFont="1" applyFill="1" applyBorder="1" applyAlignment="1">
      <alignment horizontal="left" wrapText="1"/>
    </xf>
    <xf numFmtId="49" fontId="3" fillId="0" borderId="61" xfId="0" applyNumberFormat="1" applyFont="1" applyFill="1" applyBorder="1" applyAlignment="1">
      <alignment horizontal="left" wrapText="1"/>
    </xf>
    <xf numFmtId="49" fontId="4" fillId="0" borderId="62" xfId="0" applyNumberFormat="1" applyFont="1" applyFill="1" applyBorder="1" applyAlignment="1">
      <alignment horizontal="left" wrapText="1"/>
    </xf>
    <xf numFmtId="49" fontId="3" fillId="0" borderId="60" xfId="0" applyNumberFormat="1" applyFont="1" applyFill="1" applyBorder="1" applyAlignment="1">
      <alignment horizontal="left" wrapText="1"/>
    </xf>
    <xf numFmtId="49" fontId="4" fillId="0" borderId="62" xfId="0" applyNumberFormat="1" applyFont="1" applyFill="1" applyBorder="1" applyAlignment="1">
      <alignment horizontal="left" wrapText="1"/>
    </xf>
    <xf numFmtId="49" fontId="3" fillId="0" borderId="57" xfId="0" applyNumberFormat="1" applyFont="1" applyFill="1" applyBorder="1" applyAlignment="1">
      <alignment horizontal="left" wrapText="1"/>
    </xf>
    <xf numFmtId="49" fontId="4" fillId="0" borderId="63" xfId="0" applyNumberFormat="1" applyFont="1" applyFill="1" applyBorder="1" applyAlignment="1">
      <alignment horizontal="left" wrapText="1"/>
    </xf>
    <xf numFmtId="49" fontId="1" fillId="0" borderId="57" xfId="0" applyNumberFormat="1" applyFont="1" applyFill="1" applyBorder="1" applyAlignment="1">
      <alignment horizontal="left" wrapText="1"/>
    </xf>
    <xf numFmtId="49" fontId="4" fillId="0" borderId="64" xfId="0" applyNumberFormat="1" applyFont="1" applyFill="1" applyBorder="1" applyAlignment="1">
      <alignment horizontal="center" wrapText="1"/>
    </xf>
    <xf numFmtId="168" fontId="4" fillId="0" borderId="56" xfId="0" applyNumberFormat="1" applyFont="1" applyFill="1" applyBorder="1" applyAlignment="1">
      <alignment horizontal="right" wrapText="1"/>
    </xf>
    <xf numFmtId="0" fontId="4" fillId="0" borderId="11" xfId="0" applyNumberFormat="1" applyFont="1" applyFill="1" applyBorder="1" applyAlignment="1">
      <alignment horizontal="left" vertical="center" wrapText="1"/>
    </xf>
    <xf numFmtId="168" fontId="4" fillId="0" borderId="29" xfId="0" applyNumberFormat="1" applyFont="1" applyFill="1" applyBorder="1" applyAlignment="1">
      <alignment horizontal="right" wrapText="1"/>
    </xf>
    <xf numFmtId="49" fontId="4" fillId="0" borderId="49" xfId="0" applyNumberFormat="1" applyFont="1" applyFill="1" applyBorder="1" applyAlignment="1">
      <alignment horizontal="center" wrapText="1"/>
    </xf>
    <xf numFmtId="168" fontId="4" fillId="0" borderId="49" xfId="0" applyNumberFormat="1" applyFont="1" applyFill="1" applyBorder="1" applyAlignment="1">
      <alignment horizontal="right"/>
    </xf>
    <xf numFmtId="168" fontId="1" fillId="0" borderId="32" xfId="0" applyNumberFormat="1" applyFont="1" applyFill="1" applyBorder="1" applyAlignment="1">
      <alignment horizontal="right"/>
    </xf>
    <xf numFmtId="168" fontId="4" fillId="0" borderId="50" xfId="0" applyNumberFormat="1" applyFont="1" applyFill="1" applyBorder="1" applyAlignment="1">
      <alignment horizontal="right"/>
    </xf>
    <xf numFmtId="168" fontId="4" fillId="0" borderId="32" xfId="0" applyNumberFormat="1" applyFont="1" applyFill="1" applyBorder="1" applyAlignment="1">
      <alignment horizontal="right"/>
    </xf>
    <xf numFmtId="49" fontId="1" fillId="0" borderId="9" xfId="0" applyNumberFormat="1" applyFont="1" applyFill="1" applyBorder="1" applyAlignment="1">
      <alignment horizontal="center" wrapText="1"/>
    </xf>
    <xf numFmtId="168" fontId="0" fillId="0" borderId="0" xfId="0" applyNumberFormat="1" applyAlignment="1">
      <alignment/>
    </xf>
    <xf numFmtId="168" fontId="4" fillId="0" borderId="65" xfId="0" applyNumberFormat="1" applyFont="1" applyFill="1" applyBorder="1" applyAlignment="1">
      <alignment horizontal="right" wrapText="1"/>
    </xf>
    <xf numFmtId="49" fontId="1" fillId="0" borderId="31" xfId="0" applyNumberFormat="1" applyFont="1" applyFill="1" applyBorder="1" applyAlignment="1">
      <alignment horizontal="center" wrapText="1"/>
    </xf>
    <xf numFmtId="168" fontId="4" fillId="0" borderId="51" xfId="0" applyNumberFormat="1" applyFont="1" applyFill="1" applyBorder="1" applyAlignment="1">
      <alignment horizontal="right" wrapText="1"/>
    </xf>
    <xf numFmtId="168" fontId="1" fillId="0" borderId="51" xfId="0" applyNumberFormat="1" applyFont="1" applyFill="1" applyBorder="1" applyAlignment="1">
      <alignment horizontal="right" wrapText="1"/>
    </xf>
    <xf numFmtId="0" fontId="4" fillId="0" borderId="6" xfId="0" applyFont="1" applyBorder="1" applyAlignment="1">
      <alignment/>
    </xf>
    <xf numFmtId="49" fontId="1" fillId="0" borderId="16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49" fontId="13" fillId="0" borderId="13" xfId="0" applyNumberFormat="1" applyFont="1" applyFill="1" applyBorder="1" applyAlignment="1">
      <alignment horizontal="center" vertical="top" wrapText="1"/>
    </xf>
    <xf numFmtId="4" fontId="13" fillId="0" borderId="66" xfId="0" applyNumberFormat="1" applyFont="1" applyFill="1" applyBorder="1" applyAlignment="1">
      <alignment horizontal="right" vertical="top" wrapText="1"/>
    </xf>
    <xf numFmtId="49" fontId="13" fillId="0" borderId="13" xfId="0" applyNumberFormat="1" applyFont="1" applyFill="1" applyBorder="1" applyAlignment="1">
      <alignment horizontal="center" wrapText="1"/>
    </xf>
    <xf numFmtId="49" fontId="13" fillId="0" borderId="62" xfId="0" applyNumberFormat="1" applyFont="1" applyFill="1" applyBorder="1" applyAlignment="1">
      <alignment horizontal="left" vertical="top" wrapText="1"/>
    </xf>
    <xf numFmtId="49" fontId="13" fillId="0" borderId="58" xfId="0" applyNumberFormat="1" applyFont="1" applyFill="1" applyBorder="1" applyAlignment="1">
      <alignment horizontal="left" vertical="top" wrapText="1"/>
    </xf>
    <xf numFmtId="49" fontId="1" fillId="0" borderId="21" xfId="0" applyNumberFormat="1" applyFont="1" applyFill="1" applyBorder="1" applyAlignment="1">
      <alignment horizontal="center" wrapText="1"/>
    </xf>
    <xf numFmtId="168" fontId="4" fillId="0" borderId="0" xfId="0" applyNumberFormat="1" applyFont="1" applyFill="1" applyBorder="1" applyAlignment="1">
      <alignment horizontal="right" wrapText="1"/>
    </xf>
    <xf numFmtId="168" fontId="4" fillId="0" borderId="50" xfId="0" applyNumberFormat="1" applyFont="1" applyFill="1" applyBorder="1" applyAlignment="1">
      <alignment horizontal="right" wrapText="1"/>
    </xf>
    <xf numFmtId="49" fontId="14" fillId="0" borderId="59" xfId="0" applyNumberFormat="1" applyFont="1" applyFill="1" applyBorder="1" applyAlignment="1">
      <alignment horizontal="left" vertical="top" wrapText="1"/>
    </xf>
    <xf numFmtId="168" fontId="4" fillId="0" borderId="3" xfId="0" applyNumberFormat="1" applyFont="1" applyFill="1" applyBorder="1" applyAlignment="1">
      <alignment horizontal="right" wrapText="1"/>
    </xf>
    <xf numFmtId="49" fontId="3" fillId="0" borderId="31" xfId="0" applyNumberFormat="1" applyFont="1" applyFill="1" applyBorder="1" applyAlignment="1">
      <alignment horizontal="center" wrapText="1"/>
    </xf>
    <xf numFmtId="168" fontId="1" fillId="0" borderId="21" xfId="0" applyNumberFormat="1" applyFont="1" applyFill="1" applyBorder="1" applyAlignment="1">
      <alignment horizontal="right"/>
    </xf>
    <xf numFmtId="49" fontId="14" fillId="0" borderId="7" xfId="0" applyNumberFormat="1" applyFont="1" applyFill="1" applyBorder="1" applyAlignment="1">
      <alignment horizontal="center" vertical="top" wrapText="1"/>
    </xf>
    <xf numFmtId="168" fontId="4" fillId="0" borderId="4" xfId="0" applyNumberFormat="1" applyFont="1" applyFill="1" applyBorder="1" applyAlignment="1">
      <alignment horizontal="right" wrapText="1"/>
    </xf>
    <xf numFmtId="49" fontId="14" fillId="0" borderId="60" xfId="0" applyNumberFormat="1" applyFont="1" applyFill="1" applyBorder="1" applyAlignment="1">
      <alignment horizontal="left" vertical="top" wrapText="1"/>
    </xf>
    <xf numFmtId="49" fontId="3" fillId="0" borderId="67" xfId="0" applyNumberFormat="1" applyFont="1" applyFill="1" applyBorder="1" applyAlignment="1">
      <alignment horizontal="center" wrapText="1"/>
    </xf>
    <xf numFmtId="49" fontId="13" fillId="0" borderId="21" xfId="0" applyNumberFormat="1" applyFont="1" applyFill="1" applyBorder="1" applyAlignment="1">
      <alignment horizontal="center" vertical="top" wrapText="1"/>
    </xf>
    <xf numFmtId="4" fontId="13" fillId="0" borderId="0" xfId="0" applyNumberFormat="1" applyFont="1" applyFill="1" applyBorder="1" applyAlignment="1">
      <alignment horizontal="right" vertical="top" wrapText="1"/>
    </xf>
    <xf numFmtId="168" fontId="1" fillId="0" borderId="21" xfId="0" applyNumberFormat="1" applyFont="1" applyFill="1" applyBorder="1" applyAlignment="1">
      <alignment horizontal="right" wrapText="1"/>
    </xf>
    <xf numFmtId="0" fontId="3" fillId="0" borderId="23" xfId="0" applyNumberFormat="1" applyFont="1" applyFill="1" applyBorder="1" applyAlignment="1">
      <alignment horizontal="left" wrapText="1"/>
    </xf>
    <xf numFmtId="49" fontId="15" fillId="0" borderId="25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" fontId="13" fillId="0" borderId="10" xfId="0" applyNumberFormat="1" applyFont="1" applyFill="1" applyBorder="1" applyAlignment="1">
      <alignment horizontal="right" vertical="top" wrapText="1"/>
    </xf>
    <xf numFmtId="49" fontId="1" fillId="0" borderId="23" xfId="0" applyNumberFormat="1" applyFont="1" applyFill="1" applyBorder="1" applyAlignment="1">
      <alignment horizontal="left" wrapText="1"/>
    </xf>
    <xf numFmtId="168" fontId="4" fillId="0" borderId="66" xfId="0" applyNumberFormat="1" applyFont="1" applyFill="1" applyBorder="1" applyAlignment="1">
      <alignment horizontal="right" wrapText="1"/>
    </xf>
    <xf numFmtId="0" fontId="0" fillId="0" borderId="0" xfId="0" applyFill="1" applyAlignment="1">
      <alignment horizontal="right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710</xdr:row>
      <xdr:rowOff>0</xdr:rowOff>
    </xdr:from>
    <xdr:to>
      <xdr:col>7</xdr:col>
      <xdr:colOff>180975</xdr:colOff>
      <xdr:row>710</xdr:row>
      <xdr:rowOff>0</xdr:rowOff>
    </xdr:to>
    <xdr:sp>
      <xdr:nvSpPr>
        <xdr:cNvPr id="1" name="7740"/>
        <xdr:cNvSpPr>
          <a:spLocks/>
        </xdr:cNvSpPr>
      </xdr:nvSpPr>
      <xdr:spPr>
        <a:xfrm>
          <a:off x="9525" y="219808425"/>
          <a:ext cx="12944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/>
            <a:t>Исполнитель</a:t>
          </a:r>
        </a:p>
      </xdr:txBody>
    </xdr:sp>
    <xdr:clientData/>
  </xdr:twoCellAnchor>
  <xdr:twoCellAnchor>
    <xdr:from>
      <xdr:col>7</xdr:col>
      <xdr:colOff>695325</xdr:colOff>
      <xdr:row>710</xdr:row>
      <xdr:rowOff>0</xdr:rowOff>
    </xdr:from>
    <xdr:to>
      <xdr:col>8</xdr:col>
      <xdr:colOff>0</xdr:colOff>
      <xdr:row>710</xdr:row>
      <xdr:rowOff>0</xdr:rowOff>
    </xdr:to>
    <xdr:sp>
      <xdr:nvSpPr>
        <xdr:cNvPr id="2" name="7741"/>
        <xdr:cNvSpPr>
          <a:spLocks/>
        </xdr:cNvSpPr>
      </xdr:nvSpPr>
      <xdr:spPr>
        <a:xfrm>
          <a:off x="12954000" y="21980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710</xdr:row>
      <xdr:rowOff>0</xdr:rowOff>
    </xdr:from>
    <xdr:to>
      <xdr:col>8</xdr:col>
      <xdr:colOff>0</xdr:colOff>
      <xdr:row>710</xdr:row>
      <xdr:rowOff>0</xdr:rowOff>
    </xdr:to>
    <xdr:sp>
      <xdr:nvSpPr>
        <xdr:cNvPr id="3" name="7742"/>
        <xdr:cNvSpPr>
          <a:spLocks/>
        </xdr:cNvSpPr>
      </xdr:nvSpPr>
      <xdr:spPr>
        <a:xfrm>
          <a:off x="12954000" y="21980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695325</xdr:colOff>
      <xdr:row>710</xdr:row>
      <xdr:rowOff>0</xdr:rowOff>
    </xdr:from>
    <xdr:to>
      <xdr:col>8</xdr:col>
      <xdr:colOff>0</xdr:colOff>
      <xdr:row>710</xdr:row>
      <xdr:rowOff>0</xdr:rowOff>
    </xdr:to>
    <xdr:sp>
      <xdr:nvSpPr>
        <xdr:cNvPr id="4" name="7743"/>
        <xdr:cNvSpPr>
          <a:spLocks/>
        </xdr:cNvSpPr>
      </xdr:nvSpPr>
      <xdr:spPr>
        <a:xfrm>
          <a:off x="12954000" y="21980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(подпись)</a:t>
          </a:r>
        </a:p>
      </xdr:txBody>
    </xdr:sp>
    <xdr:clientData/>
  </xdr:twoCellAnchor>
  <xdr:twoCellAnchor>
    <xdr:from>
      <xdr:col>8</xdr:col>
      <xdr:colOff>0</xdr:colOff>
      <xdr:row>710</xdr:row>
      <xdr:rowOff>0</xdr:rowOff>
    </xdr:from>
    <xdr:to>
      <xdr:col>8</xdr:col>
      <xdr:colOff>0</xdr:colOff>
      <xdr:row>710</xdr:row>
      <xdr:rowOff>0</xdr:rowOff>
    </xdr:to>
    <xdr:sp>
      <xdr:nvSpPr>
        <xdr:cNvPr id="5" name="7744"/>
        <xdr:cNvSpPr>
          <a:spLocks/>
        </xdr:cNvSpPr>
      </xdr:nvSpPr>
      <xdr:spPr>
        <a:xfrm>
          <a:off x="12954000" y="21980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(расшифровка подписи)</a:t>
          </a:r>
        </a:p>
      </xdr:txBody>
    </xdr:sp>
    <xdr:clientData/>
  </xdr:twoCellAnchor>
  <xdr:twoCellAnchor>
    <xdr:from>
      <xdr:col>7</xdr:col>
      <xdr:colOff>695325</xdr:colOff>
      <xdr:row>710</xdr:row>
      <xdr:rowOff>0</xdr:rowOff>
    </xdr:from>
    <xdr:to>
      <xdr:col>8</xdr:col>
      <xdr:colOff>0</xdr:colOff>
      <xdr:row>710</xdr:row>
      <xdr:rowOff>0</xdr:rowOff>
    </xdr:to>
    <xdr:sp>
      <xdr:nvSpPr>
        <xdr:cNvPr id="6" name="7745"/>
        <xdr:cNvSpPr>
          <a:spLocks/>
        </xdr:cNvSpPr>
      </xdr:nvSpPr>
      <xdr:spPr>
        <a:xfrm>
          <a:off x="12954000" y="21980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710</xdr:row>
      <xdr:rowOff>0</xdr:rowOff>
    </xdr:from>
    <xdr:to>
      <xdr:col>8</xdr:col>
      <xdr:colOff>0</xdr:colOff>
      <xdr:row>710</xdr:row>
      <xdr:rowOff>0</xdr:rowOff>
    </xdr:to>
    <xdr:sp>
      <xdr:nvSpPr>
        <xdr:cNvPr id="7" name="7746"/>
        <xdr:cNvSpPr>
          <a:spLocks/>
        </xdr:cNvSpPr>
      </xdr:nvSpPr>
      <xdr:spPr>
        <a:xfrm>
          <a:off x="12954000" y="21980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710</xdr:row>
      <xdr:rowOff>0</xdr:rowOff>
    </xdr:from>
    <xdr:to>
      <xdr:col>7</xdr:col>
      <xdr:colOff>0</xdr:colOff>
      <xdr:row>710</xdr:row>
      <xdr:rowOff>0</xdr:rowOff>
    </xdr:to>
    <xdr:sp>
      <xdr:nvSpPr>
        <xdr:cNvPr id="8" name="7741"/>
        <xdr:cNvSpPr>
          <a:spLocks/>
        </xdr:cNvSpPr>
      </xdr:nvSpPr>
      <xdr:spPr>
        <a:xfrm>
          <a:off x="12954000" y="21980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710</xdr:row>
      <xdr:rowOff>0</xdr:rowOff>
    </xdr:from>
    <xdr:to>
      <xdr:col>7</xdr:col>
      <xdr:colOff>0</xdr:colOff>
      <xdr:row>710</xdr:row>
      <xdr:rowOff>0</xdr:rowOff>
    </xdr:to>
    <xdr:sp>
      <xdr:nvSpPr>
        <xdr:cNvPr id="9" name="7743"/>
        <xdr:cNvSpPr>
          <a:spLocks/>
        </xdr:cNvSpPr>
      </xdr:nvSpPr>
      <xdr:spPr>
        <a:xfrm>
          <a:off x="12954000" y="21980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(подпись)</a:t>
          </a:r>
        </a:p>
      </xdr:txBody>
    </xdr:sp>
    <xdr:clientData/>
  </xdr:twoCellAnchor>
  <xdr:twoCellAnchor>
    <xdr:from>
      <xdr:col>7</xdr:col>
      <xdr:colOff>0</xdr:colOff>
      <xdr:row>710</xdr:row>
      <xdr:rowOff>0</xdr:rowOff>
    </xdr:from>
    <xdr:to>
      <xdr:col>7</xdr:col>
      <xdr:colOff>0</xdr:colOff>
      <xdr:row>710</xdr:row>
      <xdr:rowOff>0</xdr:rowOff>
    </xdr:to>
    <xdr:sp>
      <xdr:nvSpPr>
        <xdr:cNvPr id="10" name="7745"/>
        <xdr:cNvSpPr>
          <a:spLocks/>
        </xdr:cNvSpPr>
      </xdr:nvSpPr>
      <xdr:spPr>
        <a:xfrm>
          <a:off x="12954000" y="21980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710</xdr:row>
      <xdr:rowOff>0</xdr:rowOff>
    </xdr:from>
    <xdr:to>
      <xdr:col>7</xdr:col>
      <xdr:colOff>0</xdr:colOff>
      <xdr:row>710</xdr:row>
      <xdr:rowOff>0</xdr:rowOff>
    </xdr:to>
    <xdr:sp>
      <xdr:nvSpPr>
        <xdr:cNvPr id="11" name="7741"/>
        <xdr:cNvSpPr>
          <a:spLocks/>
        </xdr:cNvSpPr>
      </xdr:nvSpPr>
      <xdr:spPr>
        <a:xfrm>
          <a:off x="12954000" y="21980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710</xdr:row>
      <xdr:rowOff>0</xdr:rowOff>
    </xdr:from>
    <xdr:to>
      <xdr:col>7</xdr:col>
      <xdr:colOff>0</xdr:colOff>
      <xdr:row>710</xdr:row>
      <xdr:rowOff>0</xdr:rowOff>
    </xdr:to>
    <xdr:sp>
      <xdr:nvSpPr>
        <xdr:cNvPr id="12" name="7743"/>
        <xdr:cNvSpPr>
          <a:spLocks/>
        </xdr:cNvSpPr>
      </xdr:nvSpPr>
      <xdr:spPr>
        <a:xfrm>
          <a:off x="12954000" y="21980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(подпись)</a:t>
          </a:r>
        </a:p>
      </xdr:txBody>
    </xdr:sp>
    <xdr:clientData/>
  </xdr:twoCellAnchor>
  <xdr:twoCellAnchor>
    <xdr:from>
      <xdr:col>7</xdr:col>
      <xdr:colOff>0</xdr:colOff>
      <xdr:row>710</xdr:row>
      <xdr:rowOff>0</xdr:rowOff>
    </xdr:from>
    <xdr:to>
      <xdr:col>7</xdr:col>
      <xdr:colOff>0</xdr:colOff>
      <xdr:row>710</xdr:row>
      <xdr:rowOff>0</xdr:rowOff>
    </xdr:to>
    <xdr:sp>
      <xdr:nvSpPr>
        <xdr:cNvPr id="13" name="7745"/>
        <xdr:cNvSpPr>
          <a:spLocks/>
        </xdr:cNvSpPr>
      </xdr:nvSpPr>
      <xdr:spPr>
        <a:xfrm>
          <a:off x="12954000" y="21980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7">
    <pageSetUpPr fitToPage="1"/>
  </sheetPr>
  <dimension ref="A1:H716"/>
  <sheetViews>
    <sheetView showGridLines="0" tabSelected="1" view="pageBreakPreview" zoomScale="75" zoomScaleSheetLayoutView="75" workbookViewId="0" topLeftCell="A1">
      <selection activeCell="C8" sqref="C8:G8"/>
    </sheetView>
  </sheetViews>
  <sheetFormatPr defaultColWidth="9.00390625" defaultRowHeight="12.75"/>
  <cols>
    <col min="1" max="1" width="95.00390625" style="0" customWidth="1"/>
    <col min="2" max="2" width="11.00390625" style="0" customWidth="1"/>
    <col min="3" max="3" width="12.375" style="0" customWidth="1"/>
    <col min="4" max="4" width="14.625" style="0" customWidth="1"/>
    <col min="5" max="5" width="9.375" style="0" customWidth="1"/>
    <col min="6" max="6" width="27.375" style="0" hidden="1" customWidth="1"/>
    <col min="7" max="7" width="27.625" style="0" bestFit="1" customWidth="1"/>
    <col min="8" max="8" width="19.375" style="0" hidden="1" customWidth="1"/>
  </cols>
  <sheetData>
    <row r="1" spans="1:8" ht="18">
      <c r="A1" s="280" t="s">
        <v>256</v>
      </c>
      <c r="B1" s="280"/>
      <c r="C1" s="280"/>
      <c r="D1" s="280"/>
      <c r="E1" s="280"/>
      <c r="F1" s="280"/>
      <c r="G1" s="280"/>
      <c r="H1" s="280"/>
    </row>
    <row r="2" spans="1:8" ht="18">
      <c r="A2" s="280" t="s">
        <v>35</v>
      </c>
      <c r="B2" s="280"/>
      <c r="C2" s="280"/>
      <c r="D2" s="280"/>
      <c r="E2" s="280"/>
      <c r="F2" s="280"/>
      <c r="G2" s="280"/>
      <c r="H2" s="280"/>
    </row>
    <row r="3" spans="1:8" ht="18">
      <c r="A3" s="280" t="s">
        <v>309</v>
      </c>
      <c r="B3" s="280"/>
      <c r="C3" s="280"/>
      <c r="D3" s="280"/>
      <c r="E3" s="280"/>
      <c r="F3" s="280"/>
      <c r="G3" s="280"/>
      <c r="H3" s="280"/>
    </row>
    <row r="4" spans="1:8" ht="18">
      <c r="A4" s="280" t="s">
        <v>308</v>
      </c>
      <c r="B4" s="280"/>
      <c r="C4" s="280"/>
      <c r="D4" s="280"/>
      <c r="E4" s="280"/>
      <c r="F4" s="280"/>
      <c r="G4" s="280"/>
      <c r="H4" s="280"/>
    </row>
    <row r="5" spans="1:8" ht="18">
      <c r="A5" s="280" t="s">
        <v>334</v>
      </c>
      <c r="B5" s="280"/>
      <c r="C5" s="280"/>
      <c r="D5" s="280"/>
      <c r="E5" s="280"/>
      <c r="F5" s="280"/>
      <c r="G5" s="280"/>
      <c r="H5" s="280"/>
    </row>
    <row r="6" spans="1:8" ht="18">
      <c r="A6" s="280" t="s">
        <v>547</v>
      </c>
      <c r="B6" s="280"/>
      <c r="C6" s="280"/>
      <c r="D6" s="280"/>
      <c r="E6" s="280"/>
      <c r="F6" s="280"/>
      <c r="G6" s="280"/>
      <c r="H6" s="280"/>
    </row>
    <row r="7" spans="1:8" ht="18">
      <c r="A7" s="160"/>
      <c r="B7" s="280" t="s">
        <v>335</v>
      </c>
      <c r="C7" s="280"/>
      <c r="D7" s="280"/>
      <c r="E7" s="280"/>
      <c r="F7" s="280"/>
      <c r="G7" s="280"/>
      <c r="H7" s="160"/>
    </row>
    <row r="8" spans="1:8" ht="18">
      <c r="A8" s="160"/>
      <c r="B8" s="160"/>
      <c r="C8" s="280" t="s">
        <v>39</v>
      </c>
      <c r="D8" s="280"/>
      <c r="E8" s="280"/>
      <c r="F8" s="280"/>
      <c r="G8" s="280"/>
      <c r="H8" s="160"/>
    </row>
    <row r="9" spans="1:8" ht="12.75" customHeight="1">
      <c r="A9" s="281"/>
      <c r="B9" s="281"/>
      <c r="C9" s="281"/>
      <c r="D9" s="281"/>
      <c r="E9" s="281"/>
      <c r="F9" s="281"/>
      <c r="G9" s="281"/>
      <c r="H9" s="281"/>
    </row>
    <row r="10" spans="1:8" ht="12.75" customHeight="1">
      <c r="A10" s="278"/>
      <c r="B10" s="278"/>
      <c r="C10" s="278"/>
      <c r="D10" s="278"/>
      <c r="E10" s="278"/>
      <c r="F10" s="278"/>
      <c r="G10" s="278"/>
      <c r="H10" s="278"/>
    </row>
    <row r="11" spans="1:8" ht="21" customHeight="1">
      <c r="A11" s="279" t="s">
        <v>137</v>
      </c>
      <c r="B11" s="279"/>
      <c r="C11" s="279"/>
      <c r="D11" s="279"/>
      <c r="E11" s="279"/>
      <c r="F11" s="279"/>
      <c r="G11" s="279"/>
      <c r="H11" s="279"/>
    </row>
    <row r="12" spans="1:8" ht="24" customHeight="1">
      <c r="A12" s="279" t="s">
        <v>138</v>
      </c>
      <c r="B12" s="279"/>
      <c r="C12" s="279"/>
      <c r="D12" s="279"/>
      <c r="E12" s="279"/>
      <c r="F12" s="279"/>
      <c r="G12" s="279"/>
      <c r="H12" s="279"/>
    </row>
    <row r="13" spans="1:8" ht="27" customHeight="1">
      <c r="A13" s="279" t="s">
        <v>548</v>
      </c>
      <c r="B13" s="279"/>
      <c r="C13" s="279"/>
      <c r="D13" s="279"/>
      <c r="E13" s="279"/>
      <c r="F13" s="279"/>
      <c r="G13" s="279"/>
      <c r="H13" s="279"/>
    </row>
    <row r="14" spans="1:8" ht="13.5" customHeight="1" thickBot="1">
      <c r="A14" s="1"/>
      <c r="B14" s="1"/>
      <c r="C14" s="1"/>
      <c r="D14" s="1"/>
      <c r="E14" s="1"/>
      <c r="F14" s="1"/>
      <c r="G14" s="1"/>
      <c r="H14" s="1"/>
    </row>
    <row r="15" spans="1:8" ht="72" customHeight="1" thickBot="1" thickTop="1">
      <c r="A15" s="100" t="s">
        <v>41</v>
      </c>
      <c r="B15" s="100" t="s">
        <v>233</v>
      </c>
      <c r="C15" s="100" t="s">
        <v>234</v>
      </c>
      <c r="D15" s="100" t="s">
        <v>235</v>
      </c>
      <c r="E15" s="100" t="s">
        <v>236</v>
      </c>
      <c r="F15" s="101" t="s">
        <v>273</v>
      </c>
      <c r="G15" s="101" t="s">
        <v>307</v>
      </c>
      <c r="H15" s="2" t="s">
        <v>237</v>
      </c>
    </row>
    <row r="16" spans="1:8" ht="11.25" customHeight="1" thickBot="1" thickTop="1">
      <c r="A16" s="102">
        <v>1</v>
      </c>
      <c r="B16" s="102">
        <v>2</v>
      </c>
      <c r="C16" s="102">
        <v>3</v>
      </c>
      <c r="D16" s="102">
        <v>4</v>
      </c>
      <c r="E16" s="102">
        <v>5</v>
      </c>
      <c r="F16" s="103"/>
      <c r="G16" s="103">
        <v>6</v>
      </c>
      <c r="H16" s="3"/>
    </row>
    <row r="17" spans="1:8" ht="15.75" thickTop="1">
      <c r="A17" s="4" t="s">
        <v>44</v>
      </c>
      <c r="B17" s="5" t="s">
        <v>42</v>
      </c>
      <c r="C17" s="5"/>
      <c r="D17" s="6" t="s">
        <v>43</v>
      </c>
      <c r="E17" s="6" t="s">
        <v>43</v>
      </c>
      <c r="F17" s="7" t="e">
        <f>F18+F22+F30+F52+#REF!+F61+F65</f>
        <v>#REF!</v>
      </c>
      <c r="G17" s="7">
        <f>G18+G22+G30+G52+G61+G65+G47</f>
        <v>157151.79999999996</v>
      </c>
      <c r="H17" s="7" t="e">
        <f>#REF!-F17</f>
        <v>#REF!</v>
      </c>
    </row>
    <row r="18" spans="1:8" ht="33" customHeight="1">
      <c r="A18" s="8" t="s">
        <v>126</v>
      </c>
      <c r="B18" s="9" t="s">
        <v>42</v>
      </c>
      <c r="C18" s="9" t="s">
        <v>45</v>
      </c>
      <c r="D18" s="10" t="s">
        <v>43</v>
      </c>
      <c r="E18" s="10" t="s">
        <v>43</v>
      </c>
      <c r="F18" s="11">
        <f aca="true" t="shared" si="0" ref="F18:G20">F19</f>
        <v>1510.8</v>
      </c>
      <c r="G18" s="11">
        <f t="shared" si="0"/>
        <v>1505.9</v>
      </c>
      <c r="H18" s="11" t="e">
        <f>#REF!-F18</f>
        <v>#REF!</v>
      </c>
    </row>
    <row r="19" spans="1:8" ht="46.5">
      <c r="A19" s="12" t="s">
        <v>128</v>
      </c>
      <c r="B19" s="13" t="s">
        <v>42</v>
      </c>
      <c r="C19" s="13" t="s">
        <v>45</v>
      </c>
      <c r="D19" s="14" t="s">
        <v>129</v>
      </c>
      <c r="E19" s="14" t="s">
        <v>43</v>
      </c>
      <c r="F19" s="15">
        <f t="shared" si="0"/>
        <v>1510.8</v>
      </c>
      <c r="G19" s="15">
        <f t="shared" si="0"/>
        <v>1505.9</v>
      </c>
      <c r="H19" s="15" t="e">
        <f>#REF!-F19</f>
        <v>#REF!</v>
      </c>
    </row>
    <row r="20" spans="1:8" ht="15">
      <c r="A20" s="8" t="s">
        <v>121</v>
      </c>
      <c r="B20" s="9" t="s">
        <v>42</v>
      </c>
      <c r="C20" s="9" t="s">
        <v>45</v>
      </c>
      <c r="D20" s="10" t="s">
        <v>130</v>
      </c>
      <c r="E20" s="10"/>
      <c r="F20" s="11">
        <f t="shared" si="0"/>
        <v>1510.8</v>
      </c>
      <c r="G20" s="11">
        <f t="shared" si="0"/>
        <v>1505.9</v>
      </c>
      <c r="H20" s="11" t="e">
        <f>#REF!-F20</f>
        <v>#REF!</v>
      </c>
    </row>
    <row r="21" spans="1:8" ht="15">
      <c r="A21" s="16" t="s">
        <v>132</v>
      </c>
      <c r="B21" s="17" t="s">
        <v>42</v>
      </c>
      <c r="C21" s="17" t="s">
        <v>45</v>
      </c>
      <c r="D21" s="18" t="s">
        <v>130</v>
      </c>
      <c r="E21" s="18" t="s">
        <v>131</v>
      </c>
      <c r="F21" s="19">
        <f>1352.6+158.2</f>
        <v>1510.8</v>
      </c>
      <c r="G21" s="19">
        <v>1505.9</v>
      </c>
      <c r="H21" s="19" t="e">
        <f>#REF!-F21</f>
        <v>#REF!</v>
      </c>
    </row>
    <row r="22" spans="1:8" ht="46.5">
      <c r="A22" s="8" t="s">
        <v>127</v>
      </c>
      <c r="B22" s="9" t="s">
        <v>42</v>
      </c>
      <c r="C22" s="9" t="s">
        <v>46</v>
      </c>
      <c r="D22" s="10" t="s">
        <v>43</v>
      </c>
      <c r="E22" s="10" t="s">
        <v>43</v>
      </c>
      <c r="F22" s="11">
        <f>F23</f>
        <v>1855.6</v>
      </c>
      <c r="G22" s="11">
        <f>G23</f>
        <v>4196.7</v>
      </c>
      <c r="H22" s="11" t="e">
        <f>#REF!-F22</f>
        <v>#REF!</v>
      </c>
    </row>
    <row r="23" spans="1:8" ht="46.5">
      <c r="A23" s="8" t="s">
        <v>128</v>
      </c>
      <c r="B23" s="9" t="s">
        <v>42</v>
      </c>
      <c r="C23" s="9" t="s">
        <v>46</v>
      </c>
      <c r="D23" s="10" t="s">
        <v>129</v>
      </c>
      <c r="E23" s="10" t="s">
        <v>43</v>
      </c>
      <c r="F23" s="11">
        <f>F24</f>
        <v>1855.6</v>
      </c>
      <c r="G23" s="11">
        <f>G24+G28</f>
        <v>4196.7</v>
      </c>
      <c r="H23" s="11" t="e">
        <f>#REF!-F23</f>
        <v>#REF!</v>
      </c>
    </row>
    <row r="24" spans="1:8" ht="15">
      <c r="A24" s="12" t="s">
        <v>48</v>
      </c>
      <c r="B24" s="13" t="s">
        <v>42</v>
      </c>
      <c r="C24" s="13" t="s">
        <v>46</v>
      </c>
      <c r="D24" s="14" t="s">
        <v>133</v>
      </c>
      <c r="E24" s="14"/>
      <c r="F24" s="15">
        <f>F25+F26</f>
        <v>1855.6</v>
      </c>
      <c r="G24" s="15">
        <f>G25+G26+G27</f>
        <v>3324.4999999999995</v>
      </c>
      <c r="H24" s="11" t="e">
        <f>#REF!-F24</f>
        <v>#REF!</v>
      </c>
    </row>
    <row r="25" spans="1:8" ht="15">
      <c r="A25" s="84" t="s">
        <v>132</v>
      </c>
      <c r="B25" s="85" t="s">
        <v>42</v>
      </c>
      <c r="C25" s="85" t="s">
        <v>46</v>
      </c>
      <c r="D25" s="37" t="s">
        <v>133</v>
      </c>
      <c r="E25" s="37" t="s">
        <v>131</v>
      </c>
      <c r="F25" s="86">
        <f>1493-20</f>
        <v>1473</v>
      </c>
      <c r="G25" s="86">
        <v>1890.1</v>
      </c>
      <c r="H25" s="23" t="e">
        <f>#REF!-F25</f>
        <v>#REF!</v>
      </c>
    </row>
    <row r="26" spans="1:8" ht="15">
      <c r="A26" s="16" t="s">
        <v>310</v>
      </c>
      <c r="B26" s="21" t="s">
        <v>42</v>
      </c>
      <c r="C26" s="21" t="s">
        <v>46</v>
      </c>
      <c r="D26" s="22" t="s">
        <v>250</v>
      </c>
      <c r="E26" s="22" t="s">
        <v>131</v>
      </c>
      <c r="F26" s="23">
        <v>382.6</v>
      </c>
      <c r="G26" s="23">
        <v>564.3</v>
      </c>
      <c r="H26" s="23"/>
    </row>
    <row r="27" spans="1:8" ht="15">
      <c r="A27" s="73" t="s">
        <v>251</v>
      </c>
      <c r="B27" s="68" t="s">
        <v>42</v>
      </c>
      <c r="C27" s="68" t="s">
        <v>46</v>
      </c>
      <c r="D27" s="43" t="s">
        <v>551</v>
      </c>
      <c r="E27" s="43" t="s">
        <v>131</v>
      </c>
      <c r="F27" s="41">
        <v>382.6</v>
      </c>
      <c r="G27" s="41">
        <f>1129-260.2+1.3</f>
        <v>870.0999999999999</v>
      </c>
      <c r="H27" s="23"/>
    </row>
    <row r="28" spans="1:8" ht="15">
      <c r="A28" s="51" t="s">
        <v>549</v>
      </c>
      <c r="B28" s="45" t="s">
        <v>42</v>
      </c>
      <c r="C28" s="45" t="s">
        <v>46</v>
      </c>
      <c r="D28" s="75" t="s">
        <v>550</v>
      </c>
      <c r="E28" s="47"/>
      <c r="F28" s="76"/>
      <c r="G28" s="48">
        <f>G29</f>
        <v>872.2</v>
      </c>
      <c r="H28" s="23"/>
    </row>
    <row r="29" spans="1:8" ht="15">
      <c r="A29" s="20" t="s">
        <v>251</v>
      </c>
      <c r="B29" s="21" t="s">
        <v>42</v>
      </c>
      <c r="C29" s="21" t="s">
        <v>46</v>
      </c>
      <c r="D29" s="22" t="s">
        <v>550</v>
      </c>
      <c r="E29" s="22" t="s">
        <v>131</v>
      </c>
      <c r="F29" s="23">
        <v>382.6</v>
      </c>
      <c r="G29" s="23">
        <f>873.5-1.3</f>
        <v>872.2</v>
      </c>
      <c r="H29" s="23"/>
    </row>
    <row r="30" spans="1:8" ht="30" customHeight="1">
      <c r="A30" s="8" t="s">
        <v>135</v>
      </c>
      <c r="B30" s="9" t="s">
        <v>42</v>
      </c>
      <c r="C30" s="9" t="s">
        <v>49</v>
      </c>
      <c r="D30" s="10" t="s">
        <v>43</v>
      </c>
      <c r="E30" s="10" t="s">
        <v>43</v>
      </c>
      <c r="F30" s="11">
        <f>F31</f>
        <v>40407.00000000001</v>
      </c>
      <c r="G30" s="11">
        <f>G31+G38</f>
        <v>49746.09999999999</v>
      </c>
      <c r="H30" s="11" t="e">
        <f>#REF!-F30</f>
        <v>#REF!</v>
      </c>
    </row>
    <row r="31" spans="1:8" ht="46.5">
      <c r="A31" s="8" t="s">
        <v>128</v>
      </c>
      <c r="B31" s="9" t="s">
        <v>42</v>
      </c>
      <c r="C31" s="9" t="s">
        <v>49</v>
      </c>
      <c r="D31" s="10" t="s">
        <v>129</v>
      </c>
      <c r="E31" s="10" t="s">
        <v>43</v>
      </c>
      <c r="F31" s="11">
        <f>F32+F36</f>
        <v>40407.00000000001</v>
      </c>
      <c r="G31" s="11">
        <f>G32+G36</f>
        <v>45937.49999999999</v>
      </c>
      <c r="H31" s="11" t="e">
        <f>#REF!-F31</f>
        <v>#REF!</v>
      </c>
    </row>
    <row r="32" spans="1:8" ht="15">
      <c r="A32" s="51" t="s">
        <v>48</v>
      </c>
      <c r="B32" s="45" t="s">
        <v>42</v>
      </c>
      <c r="C32" s="45" t="s">
        <v>49</v>
      </c>
      <c r="D32" s="46" t="s">
        <v>133</v>
      </c>
      <c r="E32" s="46"/>
      <c r="F32" s="48">
        <f>SUM(F33:F46)</f>
        <v>38565.700000000004</v>
      </c>
      <c r="G32" s="48">
        <f>G33+G34+G35</f>
        <v>44460.799999999996</v>
      </c>
      <c r="H32" s="11" t="e">
        <f>#REF!-F32</f>
        <v>#REF!</v>
      </c>
    </row>
    <row r="33" spans="1:8" ht="15">
      <c r="A33" s="20" t="s">
        <v>132</v>
      </c>
      <c r="B33" s="21" t="s">
        <v>42</v>
      </c>
      <c r="C33" s="21" t="s">
        <v>49</v>
      </c>
      <c r="D33" s="22" t="s">
        <v>133</v>
      </c>
      <c r="E33" s="22" t="s">
        <v>131</v>
      </c>
      <c r="F33" s="23">
        <f>7529.8</f>
        <v>7529.8</v>
      </c>
      <c r="G33" s="23">
        <f>11266.5+71.8+104.7</f>
        <v>11443</v>
      </c>
      <c r="H33" s="19" t="e">
        <f>#REF!-F33</f>
        <v>#REF!</v>
      </c>
    </row>
    <row r="34" spans="1:8" ht="15">
      <c r="A34" s="16" t="s">
        <v>251</v>
      </c>
      <c r="B34" s="17" t="s">
        <v>42</v>
      </c>
      <c r="C34" s="17" t="s">
        <v>49</v>
      </c>
      <c r="D34" s="18" t="s">
        <v>250</v>
      </c>
      <c r="E34" s="18" t="s">
        <v>131</v>
      </c>
      <c r="F34" s="19">
        <f>24230.9</f>
        <v>24230.9</v>
      </c>
      <c r="G34" s="19">
        <f>33754.6-826.8</f>
        <v>32927.799999999996</v>
      </c>
      <c r="H34" s="19" t="e">
        <f>#REF!-F34</f>
        <v>#REF!</v>
      </c>
    </row>
    <row r="35" spans="1:8" ht="15">
      <c r="A35" s="20" t="s">
        <v>251</v>
      </c>
      <c r="B35" s="21" t="s">
        <v>42</v>
      </c>
      <c r="C35" s="21" t="s">
        <v>49</v>
      </c>
      <c r="D35" s="22" t="s">
        <v>268</v>
      </c>
      <c r="E35" s="22" t="s">
        <v>131</v>
      </c>
      <c r="F35" s="23"/>
      <c r="G35" s="23">
        <v>90</v>
      </c>
      <c r="H35" s="19"/>
    </row>
    <row r="36" spans="1:8" ht="30.75">
      <c r="A36" s="8" t="s">
        <v>122</v>
      </c>
      <c r="B36" s="9" t="s">
        <v>42</v>
      </c>
      <c r="C36" s="9" t="s">
        <v>49</v>
      </c>
      <c r="D36" s="10" t="s">
        <v>136</v>
      </c>
      <c r="E36" s="10"/>
      <c r="F36" s="11">
        <f>F37</f>
        <v>1841.3</v>
      </c>
      <c r="G36" s="11">
        <f>G37</f>
        <v>1476.7</v>
      </c>
      <c r="H36" s="19"/>
    </row>
    <row r="37" spans="1:8" ht="15">
      <c r="A37" s="30" t="s">
        <v>132</v>
      </c>
      <c r="B37" s="39" t="s">
        <v>42</v>
      </c>
      <c r="C37" s="39" t="s">
        <v>49</v>
      </c>
      <c r="D37" s="31" t="s">
        <v>136</v>
      </c>
      <c r="E37" s="31" t="s">
        <v>131</v>
      </c>
      <c r="F37" s="32">
        <v>1841.3</v>
      </c>
      <c r="G37" s="32">
        <f>1708.3-231.6</f>
        <v>1476.7</v>
      </c>
      <c r="H37" s="19"/>
    </row>
    <row r="38" spans="1:8" ht="15">
      <c r="A38" s="51" t="s">
        <v>18</v>
      </c>
      <c r="B38" s="45" t="s">
        <v>42</v>
      </c>
      <c r="C38" s="45" t="s">
        <v>49</v>
      </c>
      <c r="D38" s="66" t="s">
        <v>17</v>
      </c>
      <c r="E38" s="47"/>
      <c r="F38" s="76"/>
      <c r="G38" s="48">
        <f>G39</f>
        <v>3808.6</v>
      </c>
      <c r="H38" s="19"/>
    </row>
    <row r="39" spans="1:8" ht="78">
      <c r="A39" s="201" t="s">
        <v>422</v>
      </c>
      <c r="B39" s="29" t="s">
        <v>42</v>
      </c>
      <c r="C39" s="29" t="s">
        <v>49</v>
      </c>
      <c r="D39" s="134" t="s">
        <v>404</v>
      </c>
      <c r="E39" s="43"/>
      <c r="F39" s="41"/>
      <c r="G39" s="168">
        <f>SUM(G40:G46)</f>
        <v>3808.6</v>
      </c>
      <c r="H39" s="19"/>
    </row>
    <row r="40" spans="1:8" ht="15">
      <c r="A40" s="16" t="s">
        <v>251</v>
      </c>
      <c r="B40" s="17" t="s">
        <v>42</v>
      </c>
      <c r="C40" s="17" t="s">
        <v>49</v>
      </c>
      <c r="D40" s="18" t="s">
        <v>397</v>
      </c>
      <c r="E40" s="18" t="s">
        <v>131</v>
      </c>
      <c r="F40" s="19">
        <v>695.6</v>
      </c>
      <c r="G40" s="19">
        <f>301.2+4.6</f>
        <v>305.8</v>
      </c>
      <c r="H40" s="19" t="e">
        <f>#REF!-F40</f>
        <v>#REF!</v>
      </c>
    </row>
    <row r="41" spans="1:8" ht="15">
      <c r="A41" s="16" t="s">
        <v>251</v>
      </c>
      <c r="B41" s="17" t="s">
        <v>42</v>
      </c>
      <c r="C41" s="17" t="s">
        <v>49</v>
      </c>
      <c r="D41" s="18" t="s">
        <v>398</v>
      </c>
      <c r="E41" s="18" t="s">
        <v>131</v>
      </c>
      <c r="F41" s="19">
        <v>10</v>
      </c>
      <c r="G41" s="19">
        <v>868.8</v>
      </c>
      <c r="H41" s="19" t="e">
        <f>#REF!-F41</f>
        <v>#REF!</v>
      </c>
    </row>
    <row r="42" spans="1:8" ht="15">
      <c r="A42" s="16" t="s">
        <v>251</v>
      </c>
      <c r="B42" s="17" t="s">
        <v>42</v>
      </c>
      <c r="C42" s="17" t="s">
        <v>49</v>
      </c>
      <c r="D42" s="18" t="s">
        <v>399</v>
      </c>
      <c r="E42" s="18" t="s">
        <v>131</v>
      </c>
      <c r="F42" s="19">
        <v>1786</v>
      </c>
      <c r="G42" s="19">
        <v>10</v>
      </c>
      <c r="H42" s="19" t="e">
        <f>#REF!-F42</f>
        <v>#REF!</v>
      </c>
    </row>
    <row r="43" spans="1:8" ht="15">
      <c r="A43" s="16" t="s">
        <v>132</v>
      </c>
      <c r="B43" s="17" t="s">
        <v>42</v>
      </c>
      <c r="C43" s="17" t="s">
        <v>49</v>
      </c>
      <c r="D43" s="18" t="s">
        <v>400</v>
      </c>
      <c r="E43" s="18" t="s">
        <v>131</v>
      </c>
      <c r="F43" s="19">
        <v>313</v>
      </c>
      <c r="G43" s="19">
        <v>378.7</v>
      </c>
      <c r="H43" s="19" t="e">
        <f>#REF!-F43</f>
        <v>#REF!</v>
      </c>
    </row>
    <row r="44" spans="1:8" ht="15">
      <c r="A44" s="16" t="s">
        <v>132</v>
      </c>
      <c r="B44" s="17" t="s">
        <v>42</v>
      </c>
      <c r="C44" s="17" t="s">
        <v>49</v>
      </c>
      <c r="D44" s="18" t="s">
        <v>401</v>
      </c>
      <c r="E44" s="18" t="s">
        <v>131</v>
      </c>
      <c r="F44" s="19">
        <v>10</v>
      </c>
      <c r="G44" s="19">
        <v>2199.7</v>
      </c>
      <c r="H44" s="19"/>
    </row>
    <row r="45" spans="1:8" ht="15">
      <c r="A45" s="16" t="s">
        <v>132</v>
      </c>
      <c r="B45" s="17" t="s">
        <v>42</v>
      </c>
      <c r="C45" s="17" t="s">
        <v>49</v>
      </c>
      <c r="D45" s="18" t="s">
        <v>402</v>
      </c>
      <c r="E45" s="18" t="s">
        <v>131</v>
      </c>
      <c r="F45" s="19">
        <v>3.5</v>
      </c>
      <c r="G45" s="19">
        <v>10</v>
      </c>
      <c r="H45" s="19"/>
    </row>
    <row r="46" spans="1:8" ht="15">
      <c r="A46" s="16" t="s">
        <v>132</v>
      </c>
      <c r="B46" s="17" t="s">
        <v>42</v>
      </c>
      <c r="C46" s="17" t="s">
        <v>49</v>
      </c>
      <c r="D46" s="18" t="s">
        <v>403</v>
      </c>
      <c r="E46" s="18" t="s">
        <v>131</v>
      </c>
      <c r="F46" s="19">
        <v>304.3</v>
      </c>
      <c r="G46" s="19">
        <v>35.6</v>
      </c>
      <c r="H46" s="19" t="e">
        <f>#REF!-F46</f>
        <v>#REF!</v>
      </c>
    </row>
    <row r="47" spans="1:8" ht="15">
      <c r="A47" s="8" t="s">
        <v>386</v>
      </c>
      <c r="B47" s="9" t="s">
        <v>42</v>
      </c>
      <c r="C47" s="9" t="s">
        <v>383</v>
      </c>
      <c r="D47" s="10" t="s">
        <v>43</v>
      </c>
      <c r="E47" s="10" t="s">
        <v>43</v>
      </c>
      <c r="F47" s="11">
        <f>F48</f>
        <v>38424.6</v>
      </c>
      <c r="G47" s="11">
        <f>G48</f>
        <v>156.6</v>
      </c>
      <c r="H47" s="23"/>
    </row>
    <row r="48" spans="1:8" ht="15">
      <c r="A48" s="8" t="s">
        <v>387</v>
      </c>
      <c r="B48" s="9" t="s">
        <v>42</v>
      </c>
      <c r="C48" s="9" t="s">
        <v>383</v>
      </c>
      <c r="D48" s="10" t="s">
        <v>161</v>
      </c>
      <c r="E48" s="10" t="s">
        <v>43</v>
      </c>
      <c r="F48" s="11">
        <f>F49</f>
        <v>38424.6</v>
      </c>
      <c r="G48" s="11">
        <f>G49</f>
        <v>156.6</v>
      </c>
      <c r="H48" s="23"/>
    </row>
    <row r="49" spans="1:8" ht="30.75">
      <c r="A49" s="51" t="s">
        <v>388</v>
      </c>
      <c r="B49" s="45" t="s">
        <v>42</v>
      </c>
      <c r="C49" s="45" t="s">
        <v>383</v>
      </c>
      <c r="D49" s="46" t="s">
        <v>384</v>
      </c>
      <c r="E49" s="46"/>
      <c r="F49" s="48">
        <f>SUM(F51:F56)</f>
        <v>38424.6</v>
      </c>
      <c r="G49" s="48">
        <f>G50</f>
        <v>156.6</v>
      </c>
      <c r="H49" s="23"/>
    </row>
    <row r="50" spans="1:8" ht="30.75">
      <c r="A50" s="51" t="s">
        <v>389</v>
      </c>
      <c r="B50" s="45" t="s">
        <v>42</v>
      </c>
      <c r="C50" s="45" t="s">
        <v>383</v>
      </c>
      <c r="D50" s="46" t="s">
        <v>385</v>
      </c>
      <c r="E50" s="46"/>
      <c r="F50" s="48"/>
      <c r="G50" s="48">
        <f>G51</f>
        <v>156.6</v>
      </c>
      <c r="H50" s="23"/>
    </row>
    <row r="51" spans="1:8" ht="15">
      <c r="A51" s="20" t="s">
        <v>132</v>
      </c>
      <c r="B51" s="21" t="s">
        <v>42</v>
      </c>
      <c r="C51" s="21" t="s">
        <v>383</v>
      </c>
      <c r="D51" s="22" t="s">
        <v>385</v>
      </c>
      <c r="E51" s="22" t="s">
        <v>131</v>
      </c>
      <c r="F51" s="23">
        <v>1263.1</v>
      </c>
      <c r="G51" s="23">
        <v>156.6</v>
      </c>
      <c r="H51" s="23"/>
    </row>
    <row r="52" spans="1:8" ht="30.75" customHeight="1">
      <c r="A52" s="8" t="s">
        <v>139</v>
      </c>
      <c r="B52" s="9" t="s">
        <v>42</v>
      </c>
      <c r="C52" s="9" t="s">
        <v>50</v>
      </c>
      <c r="D52" s="10" t="s">
        <v>43</v>
      </c>
      <c r="E52" s="10" t="s">
        <v>43</v>
      </c>
      <c r="F52" s="11">
        <f>F53</f>
        <v>9569.5</v>
      </c>
      <c r="G52" s="11">
        <f>G53+G57</f>
        <v>10756</v>
      </c>
      <c r="H52" s="11" t="e">
        <f>#REF!-F52</f>
        <v>#REF!</v>
      </c>
    </row>
    <row r="53" spans="1:8" ht="46.5">
      <c r="A53" s="8" t="s">
        <v>128</v>
      </c>
      <c r="B53" s="9" t="s">
        <v>42</v>
      </c>
      <c r="C53" s="9" t="s">
        <v>50</v>
      </c>
      <c r="D53" s="10" t="s">
        <v>129</v>
      </c>
      <c r="E53" s="10" t="s">
        <v>43</v>
      </c>
      <c r="F53" s="11">
        <f>F54</f>
        <v>9569.5</v>
      </c>
      <c r="G53" s="11">
        <f>G54</f>
        <v>9847.1</v>
      </c>
      <c r="H53" s="11" t="e">
        <f>#REF!-F53</f>
        <v>#REF!</v>
      </c>
    </row>
    <row r="54" spans="1:8" ht="15">
      <c r="A54" s="51" t="s">
        <v>48</v>
      </c>
      <c r="B54" s="45" t="s">
        <v>42</v>
      </c>
      <c r="C54" s="45" t="s">
        <v>50</v>
      </c>
      <c r="D54" s="46" t="s">
        <v>133</v>
      </c>
      <c r="E54" s="46"/>
      <c r="F54" s="48">
        <f>SUM(F55:F60)</f>
        <v>9569.5</v>
      </c>
      <c r="G54" s="48">
        <f>G55+G56</f>
        <v>9847.1</v>
      </c>
      <c r="H54" s="11" t="e">
        <f>#REF!-F54</f>
        <v>#REF!</v>
      </c>
    </row>
    <row r="55" spans="1:8" ht="15">
      <c r="A55" s="20" t="s">
        <v>132</v>
      </c>
      <c r="B55" s="21" t="s">
        <v>42</v>
      </c>
      <c r="C55" s="21" t="s">
        <v>50</v>
      </c>
      <c r="D55" s="22" t="s">
        <v>133</v>
      </c>
      <c r="E55" s="22" t="s">
        <v>131</v>
      </c>
      <c r="F55" s="23">
        <v>1263.1</v>
      </c>
      <c r="G55" s="23">
        <v>1675.3</v>
      </c>
      <c r="H55" s="23" t="e">
        <f>#REF!-F55</f>
        <v>#REF!</v>
      </c>
    </row>
    <row r="56" spans="1:8" ht="15">
      <c r="A56" s="20" t="s">
        <v>310</v>
      </c>
      <c r="B56" s="21" t="s">
        <v>42</v>
      </c>
      <c r="C56" s="21" t="s">
        <v>50</v>
      </c>
      <c r="D56" s="22" t="s">
        <v>250</v>
      </c>
      <c r="E56" s="22" t="s">
        <v>131</v>
      </c>
      <c r="F56" s="23">
        <v>7189.9</v>
      </c>
      <c r="G56" s="23">
        <v>8171.8</v>
      </c>
      <c r="H56" s="23" t="e">
        <f>#REF!-F56</f>
        <v>#REF!</v>
      </c>
    </row>
    <row r="57" spans="1:8" ht="15">
      <c r="A57" s="51" t="s">
        <v>18</v>
      </c>
      <c r="B57" s="45" t="s">
        <v>42</v>
      </c>
      <c r="C57" s="45" t="s">
        <v>50</v>
      </c>
      <c r="D57" s="66" t="s">
        <v>17</v>
      </c>
      <c r="E57" s="47"/>
      <c r="F57" s="76"/>
      <c r="G57" s="48">
        <f>G58</f>
        <v>908.9</v>
      </c>
      <c r="H57" s="23"/>
    </row>
    <row r="58" spans="1:8" ht="78">
      <c r="A58" s="83" t="s">
        <v>422</v>
      </c>
      <c r="B58" s="9" t="s">
        <v>42</v>
      </c>
      <c r="C58" s="9" t="s">
        <v>50</v>
      </c>
      <c r="D58" s="54" t="s">
        <v>404</v>
      </c>
      <c r="E58" s="37"/>
      <c r="F58" s="86"/>
      <c r="G58" s="169">
        <f>G59</f>
        <v>908.9</v>
      </c>
      <c r="H58" s="23"/>
    </row>
    <row r="59" spans="1:8" ht="46.5">
      <c r="A59" s="28" t="s">
        <v>421</v>
      </c>
      <c r="B59" s="29" t="s">
        <v>42</v>
      </c>
      <c r="C59" s="29" t="s">
        <v>50</v>
      </c>
      <c r="D59" s="176" t="s">
        <v>405</v>
      </c>
      <c r="E59" s="22"/>
      <c r="F59" s="23"/>
      <c r="G59" s="131">
        <f>G60</f>
        <v>908.9</v>
      </c>
      <c r="H59" s="23"/>
    </row>
    <row r="60" spans="1:8" ht="15">
      <c r="A60" s="20" t="s">
        <v>132</v>
      </c>
      <c r="B60" s="21" t="s">
        <v>42</v>
      </c>
      <c r="C60" s="21" t="s">
        <v>50</v>
      </c>
      <c r="D60" s="22" t="s">
        <v>405</v>
      </c>
      <c r="E60" s="22" t="s">
        <v>131</v>
      </c>
      <c r="F60" s="23">
        <v>1116.5</v>
      </c>
      <c r="G60" s="23">
        <v>908.9</v>
      </c>
      <c r="H60" s="23" t="e">
        <f>#REF!-F60</f>
        <v>#REF!</v>
      </c>
    </row>
    <row r="61" spans="1:8" ht="15">
      <c r="A61" s="8" t="s">
        <v>54</v>
      </c>
      <c r="B61" s="9" t="s">
        <v>42</v>
      </c>
      <c r="C61" s="9" t="s">
        <v>140</v>
      </c>
      <c r="D61" s="10" t="s">
        <v>43</v>
      </c>
      <c r="E61" s="10" t="s">
        <v>43</v>
      </c>
      <c r="F61" s="11">
        <f aca="true" t="shared" si="1" ref="F61:G63">F62</f>
        <v>3572.6</v>
      </c>
      <c r="G61" s="11">
        <f t="shared" si="1"/>
        <v>690.4</v>
      </c>
      <c r="H61" s="11" t="e">
        <f>#REF!-F61</f>
        <v>#REF!</v>
      </c>
    </row>
    <row r="62" spans="1:8" ht="15">
      <c r="A62" s="8" t="s">
        <v>54</v>
      </c>
      <c r="B62" s="9" t="s">
        <v>42</v>
      </c>
      <c r="C62" s="9" t="s">
        <v>140</v>
      </c>
      <c r="D62" s="10" t="s">
        <v>143</v>
      </c>
      <c r="E62" s="10" t="s">
        <v>43</v>
      </c>
      <c r="F62" s="11">
        <f t="shared" si="1"/>
        <v>3572.6</v>
      </c>
      <c r="G62" s="11">
        <f t="shared" si="1"/>
        <v>690.4</v>
      </c>
      <c r="H62" s="11" t="e">
        <f>#REF!-F62</f>
        <v>#REF!</v>
      </c>
    </row>
    <row r="63" spans="1:8" ht="15">
      <c r="A63" s="28" t="s">
        <v>144</v>
      </c>
      <c r="B63" s="29" t="s">
        <v>42</v>
      </c>
      <c r="C63" s="29" t="s">
        <v>140</v>
      </c>
      <c r="D63" s="6" t="s">
        <v>145</v>
      </c>
      <c r="E63" s="6"/>
      <c r="F63" s="7">
        <f t="shared" si="1"/>
        <v>3572.6</v>
      </c>
      <c r="G63" s="7">
        <f t="shared" si="1"/>
        <v>690.4</v>
      </c>
      <c r="H63" s="7" t="e">
        <f>#REF!-F63</f>
        <v>#REF!</v>
      </c>
    </row>
    <row r="64" spans="1:8" ht="15">
      <c r="A64" s="16" t="s">
        <v>575</v>
      </c>
      <c r="B64" s="17" t="s">
        <v>42</v>
      </c>
      <c r="C64" s="17" t="s">
        <v>140</v>
      </c>
      <c r="D64" s="18" t="s">
        <v>145</v>
      </c>
      <c r="E64" s="18" t="s">
        <v>552</v>
      </c>
      <c r="F64" s="19">
        <v>3572.6</v>
      </c>
      <c r="G64" s="19">
        <f>560.5+129.9</f>
        <v>690.4</v>
      </c>
      <c r="H64" s="19" t="e">
        <f>#REF!-F64</f>
        <v>#REF!</v>
      </c>
    </row>
    <row r="65" spans="1:8" ht="15">
      <c r="A65" s="8" t="s">
        <v>55</v>
      </c>
      <c r="B65" s="9" t="s">
        <v>42</v>
      </c>
      <c r="C65" s="9" t="s">
        <v>603</v>
      </c>
      <c r="D65" s="10" t="s">
        <v>43</v>
      </c>
      <c r="E65" s="10" t="s">
        <v>43</v>
      </c>
      <c r="F65" s="11" t="e">
        <f>F110+F66+F75+F81+F102+#REF!+#REF!</f>
        <v>#REF!</v>
      </c>
      <c r="G65" s="11">
        <f>G66+G75+G81+G102+G105+G72</f>
        <v>90100.09999999999</v>
      </c>
      <c r="H65" s="11" t="e">
        <f>#REF!-F65</f>
        <v>#REF!</v>
      </c>
    </row>
    <row r="66" spans="1:8" ht="46.5">
      <c r="A66" s="8" t="s">
        <v>128</v>
      </c>
      <c r="B66" s="9" t="s">
        <v>42</v>
      </c>
      <c r="C66" s="9" t="s">
        <v>603</v>
      </c>
      <c r="D66" s="10" t="s">
        <v>129</v>
      </c>
      <c r="E66" s="10" t="s">
        <v>43</v>
      </c>
      <c r="F66" s="11">
        <f>F67+F70</f>
        <v>27727.6</v>
      </c>
      <c r="G66" s="11">
        <f>G67+G70</f>
        <v>34109.899999999994</v>
      </c>
      <c r="H66" s="11" t="e">
        <f>#REF!-F66</f>
        <v>#REF!</v>
      </c>
    </row>
    <row r="67" spans="1:8" ht="15">
      <c r="A67" s="51" t="s">
        <v>48</v>
      </c>
      <c r="B67" s="45" t="s">
        <v>42</v>
      </c>
      <c r="C67" s="45" t="s">
        <v>603</v>
      </c>
      <c r="D67" s="46" t="s">
        <v>133</v>
      </c>
      <c r="E67" s="46"/>
      <c r="F67" s="48">
        <f>SUM(F68:F69)</f>
        <v>8176.9</v>
      </c>
      <c r="G67" s="48">
        <f>SUM(G68:G69)</f>
        <v>8588.400000000001</v>
      </c>
      <c r="H67" s="11" t="e">
        <f>#REF!-F67</f>
        <v>#REF!</v>
      </c>
    </row>
    <row r="68" spans="1:8" ht="15">
      <c r="A68" s="20" t="s">
        <v>132</v>
      </c>
      <c r="B68" s="21" t="s">
        <v>42</v>
      </c>
      <c r="C68" s="21" t="s">
        <v>603</v>
      </c>
      <c r="D68" s="22" t="s">
        <v>133</v>
      </c>
      <c r="E68" s="22" t="s">
        <v>131</v>
      </c>
      <c r="F68" s="23">
        <f>1704.7</f>
        <v>1704.7</v>
      </c>
      <c r="G68" s="23">
        <f>1418+36-12.3+45.8</f>
        <v>1487.5</v>
      </c>
      <c r="H68" s="23" t="e">
        <f>#REF!-F68</f>
        <v>#REF!</v>
      </c>
    </row>
    <row r="69" spans="1:8" ht="15">
      <c r="A69" s="20" t="s">
        <v>310</v>
      </c>
      <c r="B69" s="21" t="s">
        <v>42</v>
      </c>
      <c r="C69" s="21" t="s">
        <v>603</v>
      </c>
      <c r="D69" s="22" t="s">
        <v>250</v>
      </c>
      <c r="E69" s="22" t="s">
        <v>131</v>
      </c>
      <c r="F69" s="23">
        <f>6472.2</f>
        <v>6472.2</v>
      </c>
      <c r="G69" s="23">
        <f>6902.8+12.3+185.8</f>
        <v>7100.900000000001</v>
      </c>
      <c r="H69" s="23" t="e">
        <f>#REF!-F69</f>
        <v>#REF!</v>
      </c>
    </row>
    <row r="70" spans="1:8" ht="15">
      <c r="A70" s="8" t="s">
        <v>56</v>
      </c>
      <c r="B70" s="9" t="s">
        <v>42</v>
      </c>
      <c r="C70" s="9" t="s">
        <v>603</v>
      </c>
      <c r="D70" s="10" t="s">
        <v>146</v>
      </c>
      <c r="E70" s="10"/>
      <c r="F70" s="11">
        <f>F71</f>
        <v>19550.7</v>
      </c>
      <c r="G70" s="11">
        <f>G71</f>
        <v>25521.499999999996</v>
      </c>
      <c r="H70" s="11" t="e">
        <f>#REF!-F70</f>
        <v>#REF!</v>
      </c>
    </row>
    <row r="71" spans="1:8" ht="15">
      <c r="A71" s="20" t="s">
        <v>553</v>
      </c>
      <c r="B71" s="17" t="s">
        <v>42</v>
      </c>
      <c r="C71" s="17" t="s">
        <v>603</v>
      </c>
      <c r="D71" s="18" t="s">
        <v>146</v>
      </c>
      <c r="E71" s="18" t="s">
        <v>147</v>
      </c>
      <c r="F71" s="19">
        <v>19550.7</v>
      </c>
      <c r="G71" s="32">
        <f>24191.5+98.1+389.3+161.7+580.8+0.1+100</f>
        <v>25521.499999999996</v>
      </c>
      <c r="H71" s="19" t="e">
        <f>#REF!-F71</f>
        <v>#REF!</v>
      </c>
    </row>
    <row r="72" spans="1:8" ht="15">
      <c r="A72" s="12" t="s">
        <v>54</v>
      </c>
      <c r="B72" s="9" t="s">
        <v>42</v>
      </c>
      <c r="C72" s="9" t="s">
        <v>603</v>
      </c>
      <c r="D72" s="14" t="s">
        <v>143</v>
      </c>
      <c r="E72" s="14"/>
      <c r="F72" s="41"/>
      <c r="G72" s="48">
        <f>G73</f>
        <v>1000</v>
      </c>
      <c r="H72" s="41"/>
    </row>
    <row r="73" spans="1:8" ht="24" customHeight="1">
      <c r="A73" s="8" t="s">
        <v>382</v>
      </c>
      <c r="B73" s="9" t="s">
        <v>42</v>
      </c>
      <c r="C73" s="9" t="s">
        <v>603</v>
      </c>
      <c r="D73" s="10" t="s">
        <v>381</v>
      </c>
      <c r="E73" s="10"/>
      <c r="F73" s="41"/>
      <c r="G73" s="7">
        <f>G74</f>
        <v>1000</v>
      </c>
      <c r="H73" s="41"/>
    </row>
    <row r="74" spans="1:8" ht="15">
      <c r="A74" s="20" t="s">
        <v>320</v>
      </c>
      <c r="B74" s="68" t="s">
        <v>42</v>
      </c>
      <c r="C74" s="68" t="s">
        <v>603</v>
      </c>
      <c r="D74" s="43" t="s">
        <v>381</v>
      </c>
      <c r="E74" s="43" t="s">
        <v>317</v>
      </c>
      <c r="F74" s="41"/>
      <c r="G74" s="41">
        <v>1000</v>
      </c>
      <c r="H74" s="41"/>
    </row>
    <row r="75" spans="1:8" ht="30.75">
      <c r="A75" s="12" t="s">
        <v>119</v>
      </c>
      <c r="B75" s="13" t="s">
        <v>42</v>
      </c>
      <c r="C75" s="13" t="s">
        <v>603</v>
      </c>
      <c r="D75" s="14" t="s">
        <v>149</v>
      </c>
      <c r="E75" s="14" t="s">
        <v>43</v>
      </c>
      <c r="F75" s="15" t="e">
        <f>F76</f>
        <v>#REF!</v>
      </c>
      <c r="G75" s="15">
        <f>G76</f>
        <v>1159.6</v>
      </c>
      <c r="H75" s="15" t="e">
        <f>#REF!-F75</f>
        <v>#REF!</v>
      </c>
    </row>
    <row r="76" spans="1:8" ht="30.75">
      <c r="A76" s="8" t="s">
        <v>120</v>
      </c>
      <c r="B76" s="9" t="s">
        <v>42</v>
      </c>
      <c r="C76" s="9" t="s">
        <v>603</v>
      </c>
      <c r="D76" s="10" t="s">
        <v>148</v>
      </c>
      <c r="E76" s="10"/>
      <c r="F76" s="11" t="e">
        <f>#REF!</f>
        <v>#REF!</v>
      </c>
      <c r="G76" s="11">
        <f>G77+G79</f>
        <v>1159.6</v>
      </c>
      <c r="H76" s="11" t="e">
        <f>#REF!-F76</f>
        <v>#REF!</v>
      </c>
    </row>
    <row r="77" spans="1:8" ht="30.75">
      <c r="A77" s="8" t="s">
        <v>593</v>
      </c>
      <c r="B77" s="9" t="s">
        <v>42</v>
      </c>
      <c r="C77" s="9" t="s">
        <v>603</v>
      </c>
      <c r="D77" s="10" t="s">
        <v>594</v>
      </c>
      <c r="E77" s="10"/>
      <c r="F77" s="11"/>
      <c r="G77" s="11">
        <f>G78</f>
        <v>620</v>
      </c>
      <c r="H77" s="23"/>
    </row>
    <row r="78" spans="1:8" ht="15">
      <c r="A78" s="20" t="s">
        <v>132</v>
      </c>
      <c r="B78" s="17" t="s">
        <v>42</v>
      </c>
      <c r="C78" s="17" t="s">
        <v>603</v>
      </c>
      <c r="D78" s="18" t="s">
        <v>594</v>
      </c>
      <c r="E78" s="18" t="s">
        <v>131</v>
      </c>
      <c r="F78" s="19"/>
      <c r="G78" s="19">
        <v>620</v>
      </c>
      <c r="H78" s="23"/>
    </row>
    <row r="79" spans="1:8" ht="30.75">
      <c r="A79" s="8" t="s">
        <v>336</v>
      </c>
      <c r="B79" s="9" t="s">
        <v>42</v>
      </c>
      <c r="C79" s="9" t="s">
        <v>603</v>
      </c>
      <c r="D79" s="10" t="s">
        <v>595</v>
      </c>
      <c r="E79" s="10"/>
      <c r="F79" s="11"/>
      <c r="G79" s="11">
        <f>G80</f>
        <v>539.6</v>
      </c>
      <c r="H79" s="23"/>
    </row>
    <row r="80" spans="1:8" ht="15">
      <c r="A80" s="20" t="s">
        <v>132</v>
      </c>
      <c r="B80" s="17" t="s">
        <v>42</v>
      </c>
      <c r="C80" s="17" t="s">
        <v>603</v>
      </c>
      <c r="D80" s="18" t="s">
        <v>595</v>
      </c>
      <c r="E80" s="18" t="s">
        <v>131</v>
      </c>
      <c r="F80" s="19"/>
      <c r="G80" s="19">
        <v>539.6</v>
      </c>
      <c r="H80" s="23"/>
    </row>
    <row r="81" spans="1:8" ht="30.75">
      <c r="A81" s="8" t="s">
        <v>57</v>
      </c>
      <c r="B81" s="9" t="s">
        <v>42</v>
      </c>
      <c r="C81" s="9" t="s">
        <v>603</v>
      </c>
      <c r="D81" s="10" t="s">
        <v>150</v>
      </c>
      <c r="E81" s="10" t="s">
        <v>43</v>
      </c>
      <c r="F81" s="11" t="e">
        <f>F82</f>
        <v>#REF!</v>
      </c>
      <c r="G81" s="11">
        <f>G82</f>
        <v>15192.699999999999</v>
      </c>
      <c r="H81" s="11" t="e">
        <f>#REF!-F81</f>
        <v>#REF!</v>
      </c>
    </row>
    <row r="82" spans="1:8" ht="15">
      <c r="A82" s="8" t="s">
        <v>58</v>
      </c>
      <c r="B82" s="9" t="s">
        <v>42</v>
      </c>
      <c r="C82" s="9" t="s">
        <v>603</v>
      </c>
      <c r="D82" s="10" t="s">
        <v>151</v>
      </c>
      <c r="E82" s="10"/>
      <c r="F82" s="11" t="e">
        <f>#REF!+F83+F85+F90+#REF!+#REF!+#REF!+#REF!+F96+F98+#REF!+#REF!+#REF!</f>
        <v>#REF!</v>
      </c>
      <c r="G82" s="11">
        <f>G83+G85+G90+G96+G98+G94+G87+G92+G100</f>
        <v>15192.699999999999</v>
      </c>
      <c r="H82" s="11" t="e">
        <f>#REF!-F82</f>
        <v>#REF!</v>
      </c>
    </row>
    <row r="83" spans="1:8" ht="15">
      <c r="A83" s="8" t="s">
        <v>153</v>
      </c>
      <c r="B83" s="9" t="s">
        <v>42</v>
      </c>
      <c r="C83" s="9" t="s">
        <v>603</v>
      </c>
      <c r="D83" s="10" t="s">
        <v>152</v>
      </c>
      <c r="E83" s="10" t="s">
        <v>43</v>
      </c>
      <c r="F83" s="11">
        <f>F84</f>
        <v>20</v>
      </c>
      <c r="G83" s="11">
        <f>G84</f>
        <v>0</v>
      </c>
      <c r="H83" s="11" t="e">
        <f>#REF!-F83</f>
        <v>#REF!</v>
      </c>
    </row>
    <row r="84" spans="1:8" ht="15">
      <c r="A84" s="20" t="s">
        <v>132</v>
      </c>
      <c r="B84" s="17" t="s">
        <v>42</v>
      </c>
      <c r="C84" s="17" t="s">
        <v>603</v>
      </c>
      <c r="D84" s="18" t="s">
        <v>152</v>
      </c>
      <c r="E84" s="18" t="s">
        <v>131</v>
      </c>
      <c r="F84" s="19">
        <f>30-10</f>
        <v>20</v>
      </c>
      <c r="G84" s="19">
        <f>30-30</f>
        <v>0</v>
      </c>
      <c r="H84" s="19" t="e">
        <f>#REF!-F84</f>
        <v>#REF!</v>
      </c>
    </row>
    <row r="85" spans="1:8" ht="46.5">
      <c r="A85" s="8" t="s">
        <v>276</v>
      </c>
      <c r="B85" s="9" t="s">
        <v>42</v>
      </c>
      <c r="C85" s="9" t="s">
        <v>603</v>
      </c>
      <c r="D85" s="10" t="s">
        <v>154</v>
      </c>
      <c r="E85" s="10" t="s">
        <v>43</v>
      </c>
      <c r="F85" s="11">
        <f>F86</f>
        <v>145.1</v>
      </c>
      <c r="G85" s="11">
        <f>G86</f>
        <v>258.6</v>
      </c>
      <c r="H85" s="11" t="e">
        <f>#REF!-F85</f>
        <v>#REF!</v>
      </c>
    </row>
    <row r="86" spans="1:8" ht="15">
      <c r="A86" s="30" t="s">
        <v>132</v>
      </c>
      <c r="B86" s="39" t="s">
        <v>42</v>
      </c>
      <c r="C86" s="39" t="s">
        <v>603</v>
      </c>
      <c r="D86" s="31" t="s">
        <v>154</v>
      </c>
      <c r="E86" s="31" t="s">
        <v>131</v>
      </c>
      <c r="F86" s="32">
        <v>145.1</v>
      </c>
      <c r="G86" s="32">
        <v>258.6</v>
      </c>
      <c r="H86" s="19" t="e">
        <f>#REF!-F86</f>
        <v>#REF!</v>
      </c>
    </row>
    <row r="87" spans="1:8" ht="30.75">
      <c r="A87" s="42" t="s">
        <v>27</v>
      </c>
      <c r="B87" s="262" t="s">
        <v>42</v>
      </c>
      <c r="C87" s="262" t="s">
        <v>603</v>
      </c>
      <c r="D87" s="257" t="s">
        <v>26</v>
      </c>
      <c r="E87" s="43"/>
      <c r="F87" s="263">
        <f>F89</f>
        <v>310</v>
      </c>
      <c r="G87" s="263">
        <f>G89+G88</f>
        <v>4768.4</v>
      </c>
      <c r="H87" s="23"/>
    </row>
    <row r="88" spans="1:8" ht="15">
      <c r="A88" s="84" t="s">
        <v>553</v>
      </c>
      <c r="B88" s="85" t="s">
        <v>42</v>
      </c>
      <c r="C88" s="85" t="s">
        <v>603</v>
      </c>
      <c r="D88" s="37" t="s">
        <v>26</v>
      </c>
      <c r="E88" s="37" t="s">
        <v>147</v>
      </c>
      <c r="F88" s="38"/>
      <c r="G88" s="86">
        <f>1397+451.6</f>
        <v>1848.6</v>
      </c>
      <c r="H88" s="23"/>
    </row>
    <row r="89" spans="1:8" ht="15">
      <c r="A89" s="30" t="s">
        <v>132</v>
      </c>
      <c r="B89" s="39" t="s">
        <v>42</v>
      </c>
      <c r="C89" s="39" t="s">
        <v>603</v>
      </c>
      <c r="D89" s="31" t="s">
        <v>26</v>
      </c>
      <c r="E89" s="31" t="s">
        <v>131</v>
      </c>
      <c r="F89" s="32">
        <v>310</v>
      </c>
      <c r="G89" s="32">
        <f>1636.8+570.1+712.9</f>
        <v>2919.8</v>
      </c>
      <c r="H89" s="23"/>
    </row>
    <row r="90" spans="1:8" ht="30.75">
      <c r="A90" s="36" t="s">
        <v>125</v>
      </c>
      <c r="B90" s="34" t="s">
        <v>42</v>
      </c>
      <c r="C90" s="34" t="s">
        <v>603</v>
      </c>
      <c r="D90" s="35" t="s">
        <v>155</v>
      </c>
      <c r="E90" s="37"/>
      <c r="F90" s="38">
        <f>F91</f>
        <v>12</v>
      </c>
      <c r="G90" s="38">
        <f>G91</f>
        <v>1.7000000000000002</v>
      </c>
      <c r="H90" s="38" t="e">
        <f>#REF!-F90</f>
        <v>#REF!</v>
      </c>
    </row>
    <row r="91" spans="1:8" ht="15">
      <c r="A91" s="20" t="s">
        <v>132</v>
      </c>
      <c r="B91" s="17" t="s">
        <v>42</v>
      </c>
      <c r="C91" s="17" t="s">
        <v>603</v>
      </c>
      <c r="D91" s="18" t="s">
        <v>155</v>
      </c>
      <c r="E91" s="18" t="s">
        <v>131</v>
      </c>
      <c r="F91" s="19">
        <v>12</v>
      </c>
      <c r="G91" s="19">
        <f>7.5-5.8</f>
        <v>1.7000000000000002</v>
      </c>
      <c r="H91" s="19" t="e">
        <f>#REF!-F91</f>
        <v>#REF!</v>
      </c>
    </row>
    <row r="92" spans="1:8" ht="30.75">
      <c r="A92" s="65" t="s">
        <v>285</v>
      </c>
      <c r="B92" s="153" t="s">
        <v>42</v>
      </c>
      <c r="C92" s="153" t="s">
        <v>603</v>
      </c>
      <c r="D92" s="154" t="s">
        <v>284</v>
      </c>
      <c r="E92" s="130"/>
      <c r="F92" s="155">
        <f>F93</f>
        <v>12</v>
      </c>
      <c r="G92" s="155">
        <f>G93</f>
        <v>8856.699999999999</v>
      </c>
      <c r="H92" s="41"/>
    </row>
    <row r="93" spans="1:8" ht="15">
      <c r="A93" s="156" t="s">
        <v>553</v>
      </c>
      <c r="B93" s="39" t="s">
        <v>42</v>
      </c>
      <c r="C93" s="39" t="s">
        <v>603</v>
      </c>
      <c r="D93" s="31" t="s">
        <v>284</v>
      </c>
      <c r="E93" s="31" t="s">
        <v>147</v>
      </c>
      <c r="F93" s="32">
        <v>12</v>
      </c>
      <c r="G93" s="32">
        <f>8559.9+296.8</f>
        <v>8856.699999999999</v>
      </c>
      <c r="H93" s="41"/>
    </row>
    <row r="94" spans="1:8" ht="15">
      <c r="A94" s="36" t="s">
        <v>23</v>
      </c>
      <c r="B94" s="9" t="s">
        <v>42</v>
      </c>
      <c r="C94" s="9" t="s">
        <v>603</v>
      </c>
      <c r="D94" s="10" t="s">
        <v>22</v>
      </c>
      <c r="E94" s="37"/>
      <c r="F94" s="38">
        <f>F95</f>
        <v>10.2</v>
      </c>
      <c r="G94" s="38">
        <f>G95</f>
        <v>1067.9</v>
      </c>
      <c r="H94" s="41"/>
    </row>
    <row r="95" spans="1:8" ht="15">
      <c r="A95" s="30" t="s">
        <v>132</v>
      </c>
      <c r="B95" s="39" t="s">
        <v>42</v>
      </c>
      <c r="C95" s="39" t="s">
        <v>603</v>
      </c>
      <c r="D95" s="31" t="s">
        <v>22</v>
      </c>
      <c r="E95" s="31" t="s">
        <v>131</v>
      </c>
      <c r="F95" s="32">
        <v>10.2</v>
      </c>
      <c r="G95" s="32">
        <f>1100-32.1</f>
        <v>1067.9</v>
      </c>
      <c r="H95" s="41"/>
    </row>
    <row r="96" spans="1:8" ht="15">
      <c r="A96" s="36" t="s">
        <v>282</v>
      </c>
      <c r="B96" s="9" t="s">
        <v>42</v>
      </c>
      <c r="C96" s="9" t="s">
        <v>603</v>
      </c>
      <c r="D96" s="10" t="s">
        <v>283</v>
      </c>
      <c r="E96" s="37"/>
      <c r="F96" s="11">
        <f>F97</f>
        <v>10.2</v>
      </c>
      <c r="G96" s="11">
        <f>G97</f>
        <v>10</v>
      </c>
      <c r="H96" s="41"/>
    </row>
    <row r="97" spans="1:8" ht="15">
      <c r="A97" s="30" t="s">
        <v>132</v>
      </c>
      <c r="B97" s="39" t="s">
        <v>42</v>
      </c>
      <c r="C97" s="39" t="s">
        <v>603</v>
      </c>
      <c r="D97" s="31" t="s">
        <v>283</v>
      </c>
      <c r="E97" s="31" t="s">
        <v>131</v>
      </c>
      <c r="F97" s="32">
        <v>10.2</v>
      </c>
      <c r="G97" s="32">
        <v>10</v>
      </c>
      <c r="H97" s="41"/>
    </row>
    <row r="98" spans="1:8" ht="30.75">
      <c r="A98" s="42" t="s">
        <v>545</v>
      </c>
      <c r="B98" s="9" t="s">
        <v>42</v>
      </c>
      <c r="C98" s="9" t="s">
        <v>603</v>
      </c>
      <c r="D98" s="10" t="s">
        <v>544</v>
      </c>
      <c r="E98" s="43"/>
      <c r="F98" s="72">
        <f>F99</f>
        <v>120</v>
      </c>
      <c r="G98" s="72">
        <f>G99</f>
        <v>224.4</v>
      </c>
      <c r="H98" s="41"/>
    </row>
    <row r="99" spans="1:8" ht="15">
      <c r="A99" s="30" t="s">
        <v>132</v>
      </c>
      <c r="B99" s="39" t="s">
        <v>42</v>
      </c>
      <c r="C99" s="39" t="s">
        <v>603</v>
      </c>
      <c r="D99" s="31" t="s">
        <v>544</v>
      </c>
      <c r="E99" s="31" t="s">
        <v>131</v>
      </c>
      <c r="F99" s="32">
        <v>120</v>
      </c>
      <c r="G99" s="32">
        <f>240-15.6</f>
        <v>224.4</v>
      </c>
      <c r="H99" s="41"/>
    </row>
    <row r="100" spans="1:8" ht="63" customHeight="1">
      <c r="A100" s="42" t="s">
        <v>344</v>
      </c>
      <c r="B100" s="9" t="s">
        <v>42</v>
      </c>
      <c r="C100" s="9" t="s">
        <v>603</v>
      </c>
      <c r="D100" s="10" t="s">
        <v>343</v>
      </c>
      <c r="E100" s="43"/>
      <c r="F100" s="72">
        <f>F101</f>
        <v>120</v>
      </c>
      <c r="G100" s="72">
        <f>G101</f>
        <v>5</v>
      </c>
      <c r="H100" s="41"/>
    </row>
    <row r="101" spans="1:8" ht="15">
      <c r="A101" s="30" t="s">
        <v>132</v>
      </c>
      <c r="B101" s="39" t="s">
        <v>42</v>
      </c>
      <c r="C101" s="39" t="s">
        <v>603</v>
      </c>
      <c r="D101" s="31" t="s">
        <v>343</v>
      </c>
      <c r="E101" s="31" t="s">
        <v>131</v>
      </c>
      <c r="F101" s="32">
        <v>120</v>
      </c>
      <c r="G101" s="32">
        <v>5</v>
      </c>
      <c r="H101" s="41"/>
    </row>
    <row r="102" spans="1:8" ht="15">
      <c r="A102" s="12" t="s">
        <v>110</v>
      </c>
      <c r="B102" s="13" t="s">
        <v>42</v>
      </c>
      <c r="C102" s="13" t="s">
        <v>603</v>
      </c>
      <c r="D102" s="14" t="s">
        <v>156</v>
      </c>
      <c r="E102" s="14"/>
      <c r="F102" s="15">
        <f>F103</f>
        <v>21304.399999999998</v>
      </c>
      <c r="G102" s="15">
        <f>G103</f>
        <v>37677.9</v>
      </c>
      <c r="H102" s="15" t="e">
        <f>#REF!-F102</f>
        <v>#REF!</v>
      </c>
    </row>
    <row r="103" spans="1:8" ht="15">
      <c r="A103" s="8" t="s">
        <v>56</v>
      </c>
      <c r="B103" s="9" t="s">
        <v>42</v>
      </c>
      <c r="C103" s="9" t="s">
        <v>603</v>
      </c>
      <c r="D103" s="10" t="s">
        <v>245</v>
      </c>
      <c r="E103" s="10"/>
      <c r="F103" s="11">
        <f>F104</f>
        <v>21304.399999999998</v>
      </c>
      <c r="G103" s="11">
        <f>G104</f>
        <v>37677.9</v>
      </c>
      <c r="H103" s="11" t="e">
        <f>#REF!-F103</f>
        <v>#REF!</v>
      </c>
    </row>
    <row r="104" spans="1:8" ht="15">
      <c r="A104" s="30" t="s">
        <v>553</v>
      </c>
      <c r="B104" s="25" t="s">
        <v>42</v>
      </c>
      <c r="C104" s="25" t="s">
        <v>603</v>
      </c>
      <c r="D104" s="26" t="s">
        <v>245</v>
      </c>
      <c r="E104" s="26" t="s">
        <v>147</v>
      </c>
      <c r="F104" s="27">
        <f>21304.3+0.1</f>
        <v>21304.399999999998</v>
      </c>
      <c r="G104" s="27">
        <f>36094.5+97.4+190+1296</f>
        <v>37677.9</v>
      </c>
      <c r="H104" s="27" t="e">
        <f>#REF!-F104</f>
        <v>#REF!</v>
      </c>
    </row>
    <row r="105" spans="1:8" ht="15">
      <c r="A105" s="44" t="s">
        <v>247</v>
      </c>
      <c r="B105" s="45" t="s">
        <v>42</v>
      </c>
      <c r="C105" s="45" t="s">
        <v>603</v>
      </c>
      <c r="D105" s="46" t="s">
        <v>248</v>
      </c>
      <c r="E105" s="47"/>
      <c r="F105" s="48" t="e">
        <f>#REF!</f>
        <v>#REF!</v>
      </c>
      <c r="G105" s="48">
        <f>G106</f>
        <v>960</v>
      </c>
      <c r="H105" s="41"/>
    </row>
    <row r="106" spans="1:8" ht="62.25">
      <c r="A106" s="148" t="s">
        <v>333</v>
      </c>
      <c r="B106" s="9" t="s">
        <v>42</v>
      </c>
      <c r="C106" s="9" t="s">
        <v>603</v>
      </c>
      <c r="D106" s="10" t="s">
        <v>332</v>
      </c>
      <c r="E106" s="37"/>
      <c r="F106" s="11">
        <f>F107</f>
        <v>50.2</v>
      </c>
      <c r="G106" s="11">
        <f>G107</f>
        <v>960</v>
      </c>
      <c r="H106" s="41"/>
    </row>
    <row r="107" spans="1:8" ht="15">
      <c r="A107" s="20" t="s">
        <v>320</v>
      </c>
      <c r="B107" s="31" t="s">
        <v>42</v>
      </c>
      <c r="C107" s="39" t="s">
        <v>603</v>
      </c>
      <c r="D107" s="31" t="s">
        <v>332</v>
      </c>
      <c r="E107" s="31" t="s">
        <v>317</v>
      </c>
      <c r="F107" s="32">
        <v>50.2</v>
      </c>
      <c r="G107" s="32">
        <v>960</v>
      </c>
      <c r="H107" s="41"/>
    </row>
    <row r="108" spans="1:8" ht="15">
      <c r="A108" s="49" t="s">
        <v>60</v>
      </c>
      <c r="B108" s="50" t="s">
        <v>59</v>
      </c>
      <c r="C108" s="50"/>
      <c r="D108" s="10" t="s">
        <v>43</v>
      </c>
      <c r="E108" s="10" t="s">
        <v>43</v>
      </c>
      <c r="F108" s="11" t="e">
        <f>#REF!+F113</f>
        <v>#REF!</v>
      </c>
      <c r="G108" s="11">
        <f>G113+G120+G109</f>
        <v>5266.1</v>
      </c>
      <c r="H108" s="11" t="e">
        <f>#REF!-F108</f>
        <v>#REF!</v>
      </c>
    </row>
    <row r="109" spans="1:8" ht="15">
      <c r="A109" s="51" t="s">
        <v>406</v>
      </c>
      <c r="B109" s="45" t="s">
        <v>59</v>
      </c>
      <c r="C109" s="45" t="s">
        <v>407</v>
      </c>
      <c r="D109" s="47"/>
      <c r="E109" s="47"/>
      <c r="F109" s="76"/>
      <c r="G109" s="48">
        <f>G110</f>
        <v>3948.4</v>
      </c>
      <c r="H109" s="23"/>
    </row>
    <row r="110" spans="1:8" ht="15">
      <c r="A110" s="8" t="s">
        <v>160</v>
      </c>
      <c r="B110" s="9" t="s">
        <v>59</v>
      </c>
      <c r="C110" s="9" t="s">
        <v>407</v>
      </c>
      <c r="D110" s="10" t="s">
        <v>161</v>
      </c>
      <c r="E110" s="10"/>
      <c r="F110" s="11">
        <f>F111</f>
        <v>3478.4</v>
      </c>
      <c r="G110" s="11">
        <f>G111</f>
        <v>3948.4</v>
      </c>
      <c r="H110" s="23"/>
    </row>
    <row r="111" spans="1:8" ht="15">
      <c r="A111" s="8" t="s">
        <v>158</v>
      </c>
      <c r="B111" s="9" t="s">
        <v>59</v>
      </c>
      <c r="C111" s="9" t="s">
        <v>407</v>
      </c>
      <c r="D111" s="10" t="s">
        <v>159</v>
      </c>
      <c r="E111" s="10"/>
      <c r="F111" s="11">
        <f>F112</f>
        <v>3478.4</v>
      </c>
      <c r="G111" s="11">
        <f>G112</f>
        <v>3948.4</v>
      </c>
      <c r="H111" s="23"/>
    </row>
    <row r="112" spans="1:8" ht="15">
      <c r="A112" s="20" t="s">
        <v>132</v>
      </c>
      <c r="B112" s="21" t="s">
        <v>59</v>
      </c>
      <c r="C112" s="21" t="s">
        <v>407</v>
      </c>
      <c r="D112" s="22" t="s">
        <v>159</v>
      </c>
      <c r="E112" s="22" t="s">
        <v>131</v>
      </c>
      <c r="F112" s="23">
        <v>3478.4</v>
      </c>
      <c r="G112" s="23">
        <f>3979.5-269.2+238.1</f>
        <v>3948.4</v>
      </c>
      <c r="H112" s="23"/>
    </row>
    <row r="113" spans="1:8" ht="30.75">
      <c r="A113" s="8" t="s">
        <v>223</v>
      </c>
      <c r="B113" s="9" t="s">
        <v>59</v>
      </c>
      <c r="C113" s="9" t="s">
        <v>61</v>
      </c>
      <c r="D113" s="10" t="s">
        <v>43</v>
      </c>
      <c r="E113" s="10" t="s">
        <v>43</v>
      </c>
      <c r="F113" s="11">
        <f aca="true" t="shared" si="2" ref="F113:G118">F114</f>
        <v>1068.3</v>
      </c>
      <c r="G113" s="11">
        <f>G114+G117</f>
        <v>1257.7</v>
      </c>
      <c r="H113" s="11" t="e">
        <f>#REF!-F113</f>
        <v>#REF!</v>
      </c>
    </row>
    <row r="114" spans="1:8" ht="30.75">
      <c r="A114" s="51" t="s">
        <v>62</v>
      </c>
      <c r="B114" s="45" t="s">
        <v>59</v>
      </c>
      <c r="C114" s="45" t="s">
        <v>61</v>
      </c>
      <c r="D114" s="46" t="s">
        <v>162</v>
      </c>
      <c r="E114" s="46" t="s">
        <v>43</v>
      </c>
      <c r="F114" s="48">
        <f t="shared" si="2"/>
        <v>1068.3</v>
      </c>
      <c r="G114" s="48">
        <f t="shared" si="2"/>
        <v>1044.3</v>
      </c>
      <c r="H114" s="11" t="e">
        <f>#REF!-F114</f>
        <v>#REF!</v>
      </c>
    </row>
    <row r="115" spans="1:8" ht="30.75">
      <c r="A115" s="28" t="s">
        <v>116</v>
      </c>
      <c r="B115" s="29" t="s">
        <v>59</v>
      </c>
      <c r="C115" s="29" t="s">
        <v>61</v>
      </c>
      <c r="D115" s="6" t="s">
        <v>163</v>
      </c>
      <c r="E115" s="6"/>
      <c r="F115" s="7">
        <f t="shared" si="2"/>
        <v>1068.3</v>
      </c>
      <c r="G115" s="7">
        <f t="shared" si="2"/>
        <v>1044.3</v>
      </c>
      <c r="H115" s="7" t="e">
        <f>#REF!-F115</f>
        <v>#REF!</v>
      </c>
    </row>
    <row r="116" spans="1:8" ht="15">
      <c r="A116" s="30" t="s">
        <v>132</v>
      </c>
      <c r="B116" s="17" t="s">
        <v>59</v>
      </c>
      <c r="C116" s="17" t="s">
        <v>61</v>
      </c>
      <c r="D116" s="18" t="s">
        <v>163</v>
      </c>
      <c r="E116" s="18" t="s">
        <v>131</v>
      </c>
      <c r="F116" s="19">
        <f>296+932.8+500-480-180.5</f>
        <v>1068.3</v>
      </c>
      <c r="G116" s="19">
        <v>1044.3</v>
      </c>
      <c r="H116" s="19" t="e">
        <f>#REF!-F116</f>
        <v>#REF!</v>
      </c>
    </row>
    <row r="117" spans="1:8" ht="15">
      <c r="A117" s="51" t="s">
        <v>429</v>
      </c>
      <c r="B117" s="45" t="s">
        <v>59</v>
      </c>
      <c r="C117" s="45" t="s">
        <v>61</v>
      </c>
      <c r="D117" s="46" t="s">
        <v>427</v>
      </c>
      <c r="E117" s="46" t="s">
        <v>43</v>
      </c>
      <c r="F117" s="48">
        <f t="shared" si="2"/>
        <v>1068.3</v>
      </c>
      <c r="G117" s="48">
        <f t="shared" si="2"/>
        <v>213.4</v>
      </c>
      <c r="H117" s="23"/>
    </row>
    <row r="118" spans="1:8" ht="30.75">
      <c r="A118" s="28" t="s">
        <v>445</v>
      </c>
      <c r="B118" s="29" t="s">
        <v>59</v>
      </c>
      <c r="C118" s="29" t="s">
        <v>61</v>
      </c>
      <c r="D118" s="6" t="s">
        <v>428</v>
      </c>
      <c r="E118" s="6"/>
      <c r="F118" s="7">
        <f t="shared" si="2"/>
        <v>1068.3</v>
      </c>
      <c r="G118" s="7">
        <f t="shared" si="2"/>
        <v>213.4</v>
      </c>
      <c r="H118" s="23"/>
    </row>
    <row r="119" spans="1:8" ht="15">
      <c r="A119" s="30" t="s">
        <v>132</v>
      </c>
      <c r="B119" s="17" t="s">
        <v>59</v>
      </c>
      <c r="C119" s="17" t="s">
        <v>61</v>
      </c>
      <c r="D119" s="18" t="s">
        <v>428</v>
      </c>
      <c r="E119" s="18" t="s">
        <v>131</v>
      </c>
      <c r="F119" s="19">
        <f>296+932.8+500-480-180.5</f>
        <v>1068.3</v>
      </c>
      <c r="G119" s="19">
        <v>213.4</v>
      </c>
      <c r="H119" s="23"/>
    </row>
    <row r="120" spans="1:8" ht="30.75">
      <c r="A120" s="51" t="s">
        <v>337</v>
      </c>
      <c r="B120" s="45" t="s">
        <v>59</v>
      </c>
      <c r="C120" s="45" t="s">
        <v>338</v>
      </c>
      <c r="D120" s="47"/>
      <c r="E120" s="89"/>
      <c r="F120" s="161"/>
      <c r="G120" s="48">
        <f>G121</f>
        <v>60</v>
      </c>
      <c r="H120" s="23"/>
    </row>
    <row r="121" spans="1:8" ht="30.75">
      <c r="A121" s="8" t="s">
        <v>339</v>
      </c>
      <c r="B121" s="9" t="s">
        <v>59</v>
      </c>
      <c r="C121" s="9" t="s">
        <v>338</v>
      </c>
      <c r="D121" s="54" t="s">
        <v>340</v>
      </c>
      <c r="E121" s="91"/>
      <c r="F121" s="162"/>
      <c r="G121" s="11">
        <f>G122</f>
        <v>60</v>
      </c>
      <c r="H121" s="23"/>
    </row>
    <row r="122" spans="1:8" ht="30">
      <c r="A122" s="30" t="s">
        <v>554</v>
      </c>
      <c r="B122" s="158" t="s">
        <v>59</v>
      </c>
      <c r="C122" s="158" t="s">
        <v>338</v>
      </c>
      <c r="D122" s="31" t="s">
        <v>340</v>
      </c>
      <c r="E122" s="163" t="s">
        <v>555</v>
      </c>
      <c r="F122" s="106"/>
      <c r="G122" s="32">
        <v>60</v>
      </c>
      <c r="H122" s="23"/>
    </row>
    <row r="123" spans="1:8" ht="15">
      <c r="A123" s="49" t="s">
        <v>64</v>
      </c>
      <c r="B123" s="50" t="s">
        <v>63</v>
      </c>
      <c r="C123" s="50"/>
      <c r="D123" s="10" t="s">
        <v>43</v>
      </c>
      <c r="E123" s="10" t="s">
        <v>43</v>
      </c>
      <c r="F123" s="11" t="e">
        <f>F124+F153+F149+#REF!</f>
        <v>#REF!</v>
      </c>
      <c r="G123" s="11">
        <f>G124+G153+G149+G128+G140</f>
        <v>81210.4</v>
      </c>
      <c r="H123" s="11" t="e">
        <f>#REF!-F123</f>
        <v>#REF!</v>
      </c>
    </row>
    <row r="124" spans="1:8" ht="15">
      <c r="A124" s="8" t="s">
        <v>117</v>
      </c>
      <c r="B124" s="9" t="s">
        <v>63</v>
      </c>
      <c r="C124" s="9" t="s">
        <v>118</v>
      </c>
      <c r="D124" s="10"/>
      <c r="E124" s="10"/>
      <c r="F124" s="11" t="e">
        <f>#REF!+F125</f>
        <v>#REF!</v>
      </c>
      <c r="G124" s="11">
        <f>G125</f>
        <v>1764</v>
      </c>
      <c r="H124" s="11" t="e">
        <f>#REF!-F124</f>
        <v>#REF!</v>
      </c>
    </row>
    <row r="125" spans="1:8" ht="15">
      <c r="A125" s="51" t="s">
        <v>113</v>
      </c>
      <c r="B125" s="45" t="s">
        <v>63</v>
      </c>
      <c r="C125" s="45" t="s">
        <v>118</v>
      </c>
      <c r="D125" s="46" t="s">
        <v>157</v>
      </c>
      <c r="E125" s="46" t="s">
        <v>43</v>
      </c>
      <c r="F125" s="48" t="e">
        <f>#REF!+F126</f>
        <v>#REF!</v>
      </c>
      <c r="G125" s="48">
        <f>G126</f>
        <v>1764</v>
      </c>
      <c r="H125" s="48" t="e">
        <f>#REF!-F125</f>
        <v>#REF!</v>
      </c>
    </row>
    <row r="126" spans="1:8" ht="46.5">
      <c r="A126" s="36" t="s">
        <v>40</v>
      </c>
      <c r="B126" s="34" t="s">
        <v>63</v>
      </c>
      <c r="C126" s="34" t="s">
        <v>118</v>
      </c>
      <c r="D126" s="35" t="s">
        <v>36</v>
      </c>
      <c r="E126" s="37"/>
      <c r="F126" s="38">
        <f>F127</f>
        <v>166</v>
      </c>
      <c r="G126" s="38">
        <f>G127</f>
        <v>1764</v>
      </c>
      <c r="H126" s="23"/>
    </row>
    <row r="127" spans="1:8" ht="30">
      <c r="A127" s="20" t="s">
        <v>554</v>
      </c>
      <c r="B127" s="52" t="s">
        <v>63</v>
      </c>
      <c r="C127" s="21" t="s">
        <v>118</v>
      </c>
      <c r="D127" s="22" t="s">
        <v>36</v>
      </c>
      <c r="E127" s="22" t="s">
        <v>555</v>
      </c>
      <c r="F127" s="23">
        <f>166</f>
        <v>166</v>
      </c>
      <c r="G127" s="32">
        <v>1764</v>
      </c>
      <c r="H127" s="23"/>
    </row>
    <row r="128" spans="1:8" ht="15">
      <c r="A128" s="8" t="s">
        <v>341</v>
      </c>
      <c r="B128" s="9" t="s">
        <v>63</v>
      </c>
      <c r="C128" s="9" t="s">
        <v>342</v>
      </c>
      <c r="D128" s="10" t="s">
        <v>43</v>
      </c>
      <c r="E128" s="10" t="s">
        <v>43</v>
      </c>
      <c r="F128" s="23"/>
      <c r="G128" s="48">
        <f>G132+G129</f>
        <v>63164.2</v>
      </c>
      <c r="H128" s="23"/>
    </row>
    <row r="129" spans="1:8" ht="15">
      <c r="A129" s="12" t="s">
        <v>408</v>
      </c>
      <c r="B129" s="13" t="s">
        <v>63</v>
      </c>
      <c r="C129" s="13" t="s">
        <v>342</v>
      </c>
      <c r="D129" s="14" t="s">
        <v>410</v>
      </c>
      <c r="E129" s="14"/>
      <c r="F129" s="23"/>
      <c r="G129" s="48">
        <f>G130</f>
        <v>17576.5</v>
      </c>
      <c r="H129" s="23"/>
    </row>
    <row r="130" spans="1:8" ht="15">
      <c r="A130" s="12" t="s">
        <v>409</v>
      </c>
      <c r="B130" s="13" t="s">
        <v>63</v>
      </c>
      <c r="C130" s="13" t="s">
        <v>342</v>
      </c>
      <c r="D130" s="14" t="s">
        <v>411</v>
      </c>
      <c r="E130" s="14"/>
      <c r="F130" s="23"/>
      <c r="G130" s="48">
        <f>G131</f>
        <v>17576.5</v>
      </c>
      <c r="H130" s="23"/>
    </row>
    <row r="131" spans="1:8" ht="15">
      <c r="A131" s="170" t="s">
        <v>553</v>
      </c>
      <c r="B131" s="171" t="s">
        <v>63</v>
      </c>
      <c r="C131" s="171" t="s">
        <v>342</v>
      </c>
      <c r="D131" s="130" t="s">
        <v>411</v>
      </c>
      <c r="E131" s="130" t="s">
        <v>147</v>
      </c>
      <c r="F131" s="23"/>
      <c r="G131" s="76">
        <f>13228.5-12+1600+2760</f>
        <v>17576.5</v>
      </c>
      <c r="H131" s="23"/>
    </row>
    <row r="132" spans="1:8" ht="15">
      <c r="A132" s="12" t="s">
        <v>18</v>
      </c>
      <c r="B132" s="13" t="s">
        <v>63</v>
      </c>
      <c r="C132" s="13" t="s">
        <v>342</v>
      </c>
      <c r="D132" s="14" t="s">
        <v>17</v>
      </c>
      <c r="E132" s="14" t="s">
        <v>43</v>
      </c>
      <c r="F132" s="23"/>
      <c r="G132" s="48">
        <f>G133</f>
        <v>45587.7</v>
      </c>
      <c r="H132" s="23"/>
    </row>
    <row r="133" spans="1:8" ht="15">
      <c r="A133" s="12" t="s">
        <v>16</v>
      </c>
      <c r="B133" s="13" t="s">
        <v>63</v>
      </c>
      <c r="C133" s="13" t="s">
        <v>342</v>
      </c>
      <c r="D133" s="14" t="s">
        <v>15</v>
      </c>
      <c r="E133" s="14"/>
      <c r="F133" s="23"/>
      <c r="G133" s="109">
        <f>G134+G138+G136</f>
        <v>45587.7</v>
      </c>
      <c r="H133" s="23"/>
    </row>
    <row r="134" spans="1:8" ht="46.5">
      <c r="A134" s="8" t="s">
        <v>345</v>
      </c>
      <c r="B134" s="54" t="s">
        <v>63</v>
      </c>
      <c r="C134" s="9" t="s">
        <v>342</v>
      </c>
      <c r="D134" s="10" t="s">
        <v>346</v>
      </c>
      <c r="E134" s="10"/>
      <c r="F134" s="23"/>
      <c r="G134" s="7">
        <f>G135</f>
        <v>23797</v>
      </c>
      <c r="H134" s="23"/>
    </row>
    <row r="135" spans="1:8" ht="30">
      <c r="A135" s="20" t="s">
        <v>554</v>
      </c>
      <c r="B135" s="52" t="s">
        <v>63</v>
      </c>
      <c r="C135" s="17" t="s">
        <v>342</v>
      </c>
      <c r="D135" s="31" t="s">
        <v>346</v>
      </c>
      <c r="E135" s="31" t="s">
        <v>555</v>
      </c>
      <c r="F135" s="32"/>
      <c r="G135" s="32">
        <f>20919.2+2877.8</f>
        <v>23797</v>
      </c>
      <c r="H135" s="23"/>
    </row>
    <row r="136" spans="1:8" ht="62.25">
      <c r="A136" s="28" t="s">
        <v>513</v>
      </c>
      <c r="B136" s="54" t="s">
        <v>63</v>
      </c>
      <c r="C136" s="9" t="s">
        <v>342</v>
      </c>
      <c r="D136" s="10" t="s">
        <v>512</v>
      </c>
      <c r="E136" s="10"/>
      <c r="F136" s="23"/>
      <c r="G136" s="7">
        <f>G137</f>
        <v>21494.4</v>
      </c>
      <c r="H136" s="23"/>
    </row>
    <row r="137" spans="1:8" ht="30">
      <c r="A137" s="20" t="s">
        <v>554</v>
      </c>
      <c r="B137" s="52" t="s">
        <v>63</v>
      </c>
      <c r="C137" s="17" t="s">
        <v>342</v>
      </c>
      <c r="D137" s="31" t="s">
        <v>512</v>
      </c>
      <c r="E137" s="31" t="s">
        <v>555</v>
      </c>
      <c r="F137" s="32"/>
      <c r="G137" s="32">
        <v>21494.4</v>
      </c>
      <c r="H137" s="23"/>
    </row>
    <row r="138" spans="1:8" ht="62.25">
      <c r="A138" s="8" t="s">
        <v>347</v>
      </c>
      <c r="B138" s="54" t="s">
        <v>63</v>
      </c>
      <c r="C138" s="9" t="s">
        <v>342</v>
      </c>
      <c r="D138" s="6" t="s">
        <v>348</v>
      </c>
      <c r="E138" s="6"/>
      <c r="F138" s="23"/>
      <c r="G138" s="7">
        <f>G139</f>
        <v>296.3</v>
      </c>
      <c r="H138" s="23"/>
    </row>
    <row r="139" spans="1:8" ht="30">
      <c r="A139" s="30" t="s">
        <v>554</v>
      </c>
      <c r="B139" s="158" t="s">
        <v>63</v>
      </c>
      <c r="C139" s="39" t="s">
        <v>342</v>
      </c>
      <c r="D139" s="31" t="s">
        <v>348</v>
      </c>
      <c r="E139" s="31" t="s">
        <v>555</v>
      </c>
      <c r="F139" s="32"/>
      <c r="G139" s="32">
        <v>296.3</v>
      </c>
      <c r="H139" s="23"/>
    </row>
    <row r="140" spans="1:8" ht="15">
      <c r="A140" s="28" t="s">
        <v>514</v>
      </c>
      <c r="B140" s="29" t="s">
        <v>63</v>
      </c>
      <c r="C140" s="29" t="s">
        <v>515</v>
      </c>
      <c r="D140" s="22"/>
      <c r="E140" s="22"/>
      <c r="F140" s="23"/>
      <c r="G140" s="7">
        <f>G145+G141</f>
        <v>2824.4</v>
      </c>
      <c r="H140" s="23"/>
    </row>
    <row r="141" spans="1:8" ht="15">
      <c r="A141" s="12" t="s">
        <v>441</v>
      </c>
      <c r="B141" s="13" t="s">
        <v>63</v>
      </c>
      <c r="C141" s="13" t="s">
        <v>515</v>
      </c>
      <c r="D141" s="14" t="s">
        <v>438</v>
      </c>
      <c r="E141" s="14"/>
      <c r="F141" s="23"/>
      <c r="G141" s="48">
        <f>G142</f>
        <v>690.4</v>
      </c>
      <c r="H141" s="23"/>
    </row>
    <row r="142" spans="1:8" ht="15">
      <c r="A142" s="12" t="s">
        <v>442</v>
      </c>
      <c r="B142" s="13" t="s">
        <v>63</v>
      </c>
      <c r="C142" s="13" t="s">
        <v>515</v>
      </c>
      <c r="D142" s="14" t="s">
        <v>439</v>
      </c>
      <c r="E142" s="14"/>
      <c r="F142" s="23"/>
      <c r="G142" s="109">
        <f>G143</f>
        <v>690.4</v>
      </c>
      <c r="H142" s="23"/>
    </row>
    <row r="143" spans="1:8" ht="30.75">
      <c r="A143" s="12" t="s">
        <v>443</v>
      </c>
      <c r="B143" s="157" t="s">
        <v>63</v>
      </c>
      <c r="C143" s="13" t="s">
        <v>515</v>
      </c>
      <c r="D143" s="14" t="s">
        <v>440</v>
      </c>
      <c r="E143" s="14"/>
      <c r="F143" s="15"/>
      <c r="G143" s="15">
        <f>G144</f>
        <v>690.4</v>
      </c>
      <c r="H143" s="23"/>
    </row>
    <row r="144" spans="1:8" ht="15">
      <c r="A144" s="30" t="s">
        <v>553</v>
      </c>
      <c r="B144" s="158" t="s">
        <v>63</v>
      </c>
      <c r="C144" s="39" t="s">
        <v>515</v>
      </c>
      <c r="D144" s="31" t="s">
        <v>440</v>
      </c>
      <c r="E144" s="31" t="s">
        <v>147</v>
      </c>
      <c r="F144" s="32"/>
      <c r="G144" s="32">
        <f>40.1+650.3</f>
        <v>690.4</v>
      </c>
      <c r="H144" s="23"/>
    </row>
    <row r="145" spans="1:8" ht="15">
      <c r="A145" s="69" t="s">
        <v>18</v>
      </c>
      <c r="B145" s="70" t="s">
        <v>63</v>
      </c>
      <c r="C145" s="70" t="s">
        <v>515</v>
      </c>
      <c r="D145" s="71" t="s">
        <v>17</v>
      </c>
      <c r="E145" s="71" t="s">
        <v>43</v>
      </c>
      <c r="F145" s="23"/>
      <c r="G145" s="109">
        <f>G146</f>
        <v>2134</v>
      </c>
      <c r="H145" s="23"/>
    </row>
    <row r="146" spans="1:8" ht="15">
      <c r="A146" s="12" t="s">
        <v>16</v>
      </c>
      <c r="B146" s="13" t="s">
        <v>63</v>
      </c>
      <c r="C146" s="13" t="s">
        <v>515</v>
      </c>
      <c r="D146" s="14" t="s">
        <v>15</v>
      </c>
      <c r="E146" s="14"/>
      <c r="F146" s="23"/>
      <c r="G146" s="109">
        <f>G147</f>
        <v>2134</v>
      </c>
      <c r="H146" s="23"/>
    </row>
    <row r="147" spans="1:8" ht="30.75">
      <c r="A147" s="8" t="s">
        <v>13</v>
      </c>
      <c r="B147" s="54" t="s">
        <v>63</v>
      </c>
      <c r="C147" s="9" t="s">
        <v>515</v>
      </c>
      <c r="D147" s="10" t="s">
        <v>14</v>
      </c>
      <c r="E147" s="10"/>
      <c r="F147" s="11"/>
      <c r="G147" s="11">
        <f>G148</f>
        <v>2134</v>
      </c>
      <c r="H147" s="23"/>
    </row>
    <row r="148" spans="1:8" ht="15">
      <c r="A148" s="16" t="s">
        <v>249</v>
      </c>
      <c r="B148" s="52" t="s">
        <v>63</v>
      </c>
      <c r="C148" s="17" t="s">
        <v>515</v>
      </c>
      <c r="D148" s="18" t="s">
        <v>14</v>
      </c>
      <c r="E148" s="18" t="s">
        <v>556</v>
      </c>
      <c r="F148" s="19"/>
      <c r="G148" s="19">
        <v>2134</v>
      </c>
      <c r="H148" s="23"/>
    </row>
    <row r="149" spans="1:8" ht="15">
      <c r="A149" s="8" t="s">
        <v>270</v>
      </c>
      <c r="B149" s="9" t="s">
        <v>63</v>
      </c>
      <c r="C149" s="9" t="s">
        <v>269</v>
      </c>
      <c r="D149" s="10" t="s">
        <v>43</v>
      </c>
      <c r="E149" s="10" t="s">
        <v>43</v>
      </c>
      <c r="F149" s="11">
        <f aca="true" t="shared" si="3" ref="F149:G151">F150</f>
        <v>1770</v>
      </c>
      <c r="G149" s="11">
        <f t="shared" si="3"/>
        <v>2367</v>
      </c>
      <c r="H149" s="11" t="e">
        <f>#REF!-F149</f>
        <v>#REF!</v>
      </c>
    </row>
    <row r="150" spans="1:8" ht="15">
      <c r="A150" s="8" t="s">
        <v>18</v>
      </c>
      <c r="B150" s="13" t="s">
        <v>63</v>
      </c>
      <c r="C150" s="9" t="s">
        <v>269</v>
      </c>
      <c r="D150" s="10" t="s">
        <v>17</v>
      </c>
      <c r="E150" s="10" t="s">
        <v>43</v>
      </c>
      <c r="F150" s="11">
        <f t="shared" si="3"/>
        <v>1770</v>
      </c>
      <c r="G150" s="11">
        <f t="shared" si="3"/>
        <v>2367</v>
      </c>
      <c r="H150" s="11" t="e">
        <f>#REF!-F150</f>
        <v>#REF!</v>
      </c>
    </row>
    <row r="151" spans="1:8" ht="46.5">
      <c r="A151" s="28" t="s">
        <v>423</v>
      </c>
      <c r="B151" s="53" t="s">
        <v>63</v>
      </c>
      <c r="C151" s="29" t="s">
        <v>269</v>
      </c>
      <c r="D151" s="6" t="s">
        <v>330</v>
      </c>
      <c r="E151" s="6"/>
      <c r="F151" s="7">
        <f t="shared" si="3"/>
        <v>1770</v>
      </c>
      <c r="G151" s="7">
        <f t="shared" si="3"/>
        <v>2367</v>
      </c>
      <c r="H151" s="7" t="e">
        <f>#REF!-F151</f>
        <v>#REF!</v>
      </c>
    </row>
    <row r="152" spans="1:8" ht="15">
      <c r="A152" s="16" t="s">
        <v>132</v>
      </c>
      <c r="B152" s="52" t="s">
        <v>63</v>
      </c>
      <c r="C152" s="17" t="s">
        <v>269</v>
      </c>
      <c r="D152" s="18" t="s">
        <v>412</v>
      </c>
      <c r="E152" s="18" t="s">
        <v>131</v>
      </c>
      <c r="F152" s="19">
        <v>1770</v>
      </c>
      <c r="G152" s="19">
        <v>2367</v>
      </c>
      <c r="H152" s="19" t="e">
        <f>#REF!-F152</f>
        <v>#REF!</v>
      </c>
    </row>
    <row r="153" spans="1:8" ht="15">
      <c r="A153" s="8" t="s">
        <v>65</v>
      </c>
      <c r="B153" s="9" t="s">
        <v>63</v>
      </c>
      <c r="C153" s="9" t="s">
        <v>164</v>
      </c>
      <c r="D153" s="10" t="s">
        <v>43</v>
      </c>
      <c r="E153" s="10" t="s">
        <v>43</v>
      </c>
      <c r="F153" s="11" t="e">
        <f>F159+F162+#REF!</f>
        <v>#REF!</v>
      </c>
      <c r="G153" s="11">
        <f>G159+G162+G154</f>
        <v>11090.800000000001</v>
      </c>
      <c r="H153" s="11" t="e">
        <f>#REF!-F153</f>
        <v>#REF!</v>
      </c>
    </row>
    <row r="154" spans="1:8" ht="15">
      <c r="A154" s="129" t="s">
        <v>289</v>
      </c>
      <c r="B154" s="66" t="s">
        <v>63</v>
      </c>
      <c r="C154" s="13" t="s">
        <v>164</v>
      </c>
      <c r="D154" s="14" t="s">
        <v>287</v>
      </c>
      <c r="E154" s="14" t="s">
        <v>43</v>
      </c>
      <c r="F154" s="15">
        <f>F155</f>
        <v>2000</v>
      </c>
      <c r="G154" s="15">
        <f>G155+G157</f>
        <v>8302.7</v>
      </c>
      <c r="H154" s="11"/>
    </row>
    <row r="155" spans="1:8" ht="30.75">
      <c r="A155" s="12" t="s">
        <v>288</v>
      </c>
      <c r="B155" s="157" t="s">
        <v>63</v>
      </c>
      <c r="C155" s="13" t="s">
        <v>164</v>
      </c>
      <c r="D155" s="14" t="s">
        <v>286</v>
      </c>
      <c r="E155" s="14"/>
      <c r="F155" s="15">
        <f>F156</f>
        <v>2000</v>
      </c>
      <c r="G155" s="15">
        <f>G156</f>
        <v>7002.700000000001</v>
      </c>
      <c r="H155" s="11"/>
    </row>
    <row r="156" spans="1:8" ht="15">
      <c r="A156" s="30" t="s">
        <v>553</v>
      </c>
      <c r="B156" s="158" t="s">
        <v>63</v>
      </c>
      <c r="C156" s="39" t="s">
        <v>164</v>
      </c>
      <c r="D156" s="31" t="s">
        <v>286</v>
      </c>
      <c r="E156" s="31" t="s">
        <v>147</v>
      </c>
      <c r="F156" s="32">
        <v>2000</v>
      </c>
      <c r="G156" s="32">
        <f>9935.4+35.6+0.1-3000+31.6</f>
        <v>7002.700000000001</v>
      </c>
      <c r="H156" s="11"/>
    </row>
    <row r="157" spans="1:8" ht="30.75">
      <c r="A157" s="8" t="s">
        <v>349</v>
      </c>
      <c r="B157" s="54" t="s">
        <v>63</v>
      </c>
      <c r="C157" s="9" t="s">
        <v>164</v>
      </c>
      <c r="D157" s="10" t="s">
        <v>350</v>
      </c>
      <c r="E157" s="10"/>
      <c r="F157" s="41"/>
      <c r="G157" s="11">
        <f>G158</f>
        <v>1300</v>
      </c>
      <c r="H157" s="11"/>
    </row>
    <row r="158" spans="1:8" ht="15">
      <c r="A158" s="16" t="s">
        <v>132</v>
      </c>
      <c r="B158" s="52" t="s">
        <v>63</v>
      </c>
      <c r="C158" s="17" t="s">
        <v>164</v>
      </c>
      <c r="D158" s="18" t="s">
        <v>350</v>
      </c>
      <c r="E158" s="18" t="s">
        <v>131</v>
      </c>
      <c r="F158" s="41"/>
      <c r="G158" s="41">
        <v>1300</v>
      </c>
      <c r="H158" s="11"/>
    </row>
    <row r="159" spans="1:8" ht="15">
      <c r="A159" s="12" t="s">
        <v>66</v>
      </c>
      <c r="B159" s="13" t="s">
        <v>63</v>
      </c>
      <c r="C159" s="13" t="s">
        <v>164</v>
      </c>
      <c r="D159" s="14" t="s">
        <v>165</v>
      </c>
      <c r="E159" s="14" t="s">
        <v>43</v>
      </c>
      <c r="F159" s="15">
        <f>F160</f>
        <v>2000</v>
      </c>
      <c r="G159" s="15">
        <f>G160</f>
        <v>1820</v>
      </c>
      <c r="H159" s="11" t="e">
        <f>#REF!-F159</f>
        <v>#REF!</v>
      </c>
    </row>
    <row r="160" spans="1:8" ht="15">
      <c r="A160" s="8" t="s">
        <v>67</v>
      </c>
      <c r="B160" s="54" t="s">
        <v>63</v>
      </c>
      <c r="C160" s="9" t="s">
        <v>164</v>
      </c>
      <c r="D160" s="10" t="s">
        <v>166</v>
      </c>
      <c r="E160" s="10"/>
      <c r="F160" s="11">
        <f>F161</f>
        <v>2000</v>
      </c>
      <c r="G160" s="11">
        <f>G161</f>
        <v>1820</v>
      </c>
      <c r="H160" s="7" t="e">
        <f>#REF!-F160</f>
        <v>#REF!</v>
      </c>
    </row>
    <row r="161" spans="1:8" ht="15">
      <c r="A161" s="16" t="s">
        <v>132</v>
      </c>
      <c r="B161" s="52" t="s">
        <v>63</v>
      </c>
      <c r="C161" s="17" t="s">
        <v>164</v>
      </c>
      <c r="D161" s="18" t="s">
        <v>166</v>
      </c>
      <c r="E161" s="18" t="s">
        <v>131</v>
      </c>
      <c r="F161" s="19">
        <v>2000</v>
      </c>
      <c r="G161" s="19">
        <f>2000-180</f>
        <v>1820</v>
      </c>
      <c r="H161" s="19" t="e">
        <f>#REF!-F161</f>
        <v>#REF!</v>
      </c>
    </row>
    <row r="162" spans="1:8" ht="15">
      <c r="A162" s="8" t="s">
        <v>113</v>
      </c>
      <c r="B162" s="13" t="s">
        <v>63</v>
      </c>
      <c r="C162" s="9" t="s">
        <v>164</v>
      </c>
      <c r="D162" s="10" t="s">
        <v>157</v>
      </c>
      <c r="E162" s="10"/>
      <c r="F162" s="11">
        <f aca="true" t="shared" si="4" ref="F162:H163">F163</f>
        <v>410</v>
      </c>
      <c r="G162" s="11">
        <f t="shared" si="4"/>
        <v>968.1</v>
      </c>
      <c r="H162" s="11" t="e">
        <f t="shared" si="4"/>
        <v>#REF!</v>
      </c>
    </row>
    <row r="163" spans="1:8" ht="46.5">
      <c r="A163" s="28" t="s">
        <v>290</v>
      </c>
      <c r="B163" s="53" t="s">
        <v>63</v>
      </c>
      <c r="C163" s="29" t="s">
        <v>164</v>
      </c>
      <c r="D163" s="6" t="s">
        <v>271</v>
      </c>
      <c r="E163" s="6"/>
      <c r="F163" s="7">
        <f t="shared" si="4"/>
        <v>410</v>
      </c>
      <c r="G163" s="7">
        <f t="shared" si="4"/>
        <v>968.1</v>
      </c>
      <c r="H163" s="7" t="e">
        <f t="shared" si="4"/>
        <v>#REF!</v>
      </c>
    </row>
    <row r="164" spans="1:8" ht="30">
      <c r="A164" s="16" t="s">
        <v>554</v>
      </c>
      <c r="B164" s="52" t="s">
        <v>63</v>
      </c>
      <c r="C164" s="17" t="s">
        <v>164</v>
      </c>
      <c r="D164" s="18" t="s">
        <v>271</v>
      </c>
      <c r="E164" s="18" t="s">
        <v>555</v>
      </c>
      <c r="F164" s="19">
        <v>410</v>
      </c>
      <c r="G164" s="19">
        <v>968.1</v>
      </c>
      <c r="H164" s="19" t="e">
        <f>#REF!-F164</f>
        <v>#REF!</v>
      </c>
    </row>
    <row r="165" spans="1:8" ht="15">
      <c r="A165" s="49" t="s">
        <v>69</v>
      </c>
      <c r="B165" s="50" t="s">
        <v>68</v>
      </c>
      <c r="C165" s="50"/>
      <c r="D165" s="10" t="s">
        <v>43</v>
      </c>
      <c r="E165" s="10" t="s">
        <v>43</v>
      </c>
      <c r="F165" s="11" t="e">
        <f>F178</f>
        <v>#REF!</v>
      </c>
      <c r="G165" s="11">
        <f>G178+G166+G198</f>
        <v>142908.90000000002</v>
      </c>
      <c r="H165" s="11" t="e">
        <f>#REF!-F165</f>
        <v>#REF!</v>
      </c>
    </row>
    <row r="166" spans="1:8" ht="15">
      <c r="A166" s="55" t="s">
        <v>11</v>
      </c>
      <c r="B166" s="56" t="s">
        <v>68</v>
      </c>
      <c r="C166" s="57" t="s">
        <v>10</v>
      </c>
      <c r="D166" s="58" t="s">
        <v>43</v>
      </c>
      <c r="E166" s="58" t="s">
        <v>43</v>
      </c>
      <c r="F166" s="59" t="e">
        <f>#REF!</f>
        <v>#REF!</v>
      </c>
      <c r="G166" s="11">
        <f>G167+G171+G174</f>
        <v>2061.2000000000003</v>
      </c>
      <c r="H166" s="11"/>
    </row>
    <row r="167" spans="1:8" ht="15">
      <c r="A167" s="12" t="s">
        <v>18</v>
      </c>
      <c r="B167" s="9" t="s">
        <v>68</v>
      </c>
      <c r="C167" s="9" t="s">
        <v>10</v>
      </c>
      <c r="D167" s="14" t="s">
        <v>17</v>
      </c>
      <c r="E167" s="10"/>
      <c r="F167" s="11"/>
      <c r="G167" s="11">
        <f>G168</f>
        <v>462.6</v>
      </c>
      <c r="H167" s="11"/>
    </row>
    <row r="168" spans="1:8" ht="15">
      <c r="A168" s="12" t="s">
        <v>16</v>
      </c>
      <c r="B168" s="13" t="s">
        <v>68</v>
      </c>
      <c r="C168" s="13" t="s">
        <v>10</v>
      </c>
      <c r="D168" s="14" t="s">
        <v>15</v>
      </c>
      <c r="E168" s="14"/>
      <c r="F168" s="15"/>
      <c r="G168" s="15">
        <f>G169</f>
        <v>462.6</v>
      </c>
      <c r="H168" s="11"/>
    </row>
    <row r="169" spans="1:8" ht="30.75">
      <c r="A169" s="8" t="s">
        <v>13</v>
      </c>
      <c r="B169" s="54" t="s">
        <v>68</v>
      </c>
      <c r="C169" s="9" t="s">
        <v>10</v>
      </c>
      <c r="D169" s="10" t="s">
        <v>14</v>
      </c>
      <c r="E169" s="10"/>
      <c r="F169" s="11"/>
      <c r="G169" s="11">
        <f>G170</f>
        <v>462.6</v>
      </c>
      <c r="H169" s="11"/>
    </row>
    <row r="170" spans="1:8" ht="15">
      <c r="A170" s="16" t="s">
        <v>249</v>
      </c>
      <c r="B170" s="52" t="s">
        <v>68</v>
      </c>
      <c r="C170" s="17" t="s">
        <v>10</v>
      </c>
      <c r="D170" s="18" t="s">
        <v>14</v>
      </c>
      <c r="E170" s="18" t="s">
        <v>556</v>
      </c>
      <c r="F170" s="19"/>
      <c r="G170" s="19">
        <f>592.5-129.9</f>
        <v>462.6</v>
      </c>
      <c r="H170" s="11"/>
    </row>
    <row r="171" spans="1:8" ht="15">
      <c r="A171" s="214" t="s">
        <v>247</v>
      </c>
      <c r="B171" s="66" t="s">
        <v>68</v>
      </c>
      <c r="C171" s="66" t="s">
        <v>10</v>
      </c>
      <c r="D171" s="46" t="s">
        <v>248</v>
      </c>
      <c r="E171" s="47"/>
      <c r="F171" s="191"/>
      <c r="G171" s="140">
        <f>G172</f>
        <v>845.7</v>
      </c>
      <c r="H171" s="11"/>
    </row>
    <row r="172" spans="1:8" ht="30.75">
      <c r="A172" s="215" t="s">
        <v>516</v>
      </c>
      <c r="B172" s="82" t="s">
        <v>68</v>
      </c>
      <c r="C172" s="82" t="s">
        <v>10</v>
      </c>
      <c r="D172" s="10" t="s">
        <v>326</v>
      </c>
      <c r="E172" s="22"/>
      <c r="F172" s="216"/>
      <c r="G172" s="138">
        <f>G173</f>
        <v>845.7</v>
      </c>
      <c r="H172" s="11"/>
    </row>
    <row r="173" spans="1:8" ht="15">
      <c r="A173" s="217" t="s">
        <v>169</v>
      </c>
      <c r="B173" s="31" t="s">
        <v>68</v>
      </c>
      <c r="C173" s="31" t="s">
        <v>10</v>
      </c>
      <c r="D173" s="31" t="s">
        <v>326</v>
      </c>
      <c r="E173" s="31" t="s">
        <v>170</v>
      </c>
      <c r="F173" s="235"/>
      <c r="G173" s="152">
        <v>845.7</v>
      </c>
      <c r="H173" s="11"/>
    </row>
    <row r="174" spans="1:8" ht="15">
      <c r="A174" s="51" t="s">
        <v>113</v>
      </c>
      <c r="B174" s="66" t="s">
        <v>68</v>
      </c>
      <c r="C174" s="66" t="s">
        <v>10</v>
      </c>
      <c r="D174" s="66" t="s">
        <v>157</v>
      </c>
      <c r="E174" s="47"/>
      <c r="F174" s="191"/>
      <c r="G174" s="143">
        <f>G175</f>
        <v>752.9</v>
      </c>
      <c r="H174" s="11"/>
    </row>
    <row r="175" spans="1:8" ht="30.75">
      <c r="A175" s="51" t="s">
        <v>24</v>
      </c>
      <c r="B175" s="75" t="s">
        <v>68</v>
      </c>
      <c r="C175" s="75" t="s">
        <v>10</v>
      </c>
      <c r="D175" s="66" t="s">
        <v>188</v>
      </c>
      <c r="E175" s="47"/>
      <c r="F175" s="191"/>
      <c r="G175" s="143">
        <f>G176</f>
        <v>752.9</v>
      </c>
      <c r="H175" s="11"/>
    </row>
    <row r="176" spans="1:8" ht="30.75">
      <c r="A176" s="69" t="s">
        <v>517</v>
      </c>
      <c r="B176" s="134" t="s">
        <v>68</v>
      </c>
      <c r="C176" s="134" t="s">
        <v>10</v>
      </c>
      <c r="D176" s="134" t="s">
        <v>277</v>
      </c>
      <c r="E176" s="43"/>
      <c r="F176" s="258"/>
      <c r="G176" s="197">
        <f>G177</f>
        <v>752.9</v>
      </c>
      <c r="H176" s="11"/>
    </row>
    <row r="177" spans="1:8" ht="15">
      <c r="A177" s="217" t="s">
        <v>169</v>
      </c>
      <c r="B177" s="31" t="s">
        <v>68</v>
      </c>
      <c r="C177" s="31" t="s">
        <v>10</v>
      </c>
      <c r="D177" s="31" t="s">
        <v>277</v>
      </c>
      <c r="E177" s="31" t="s">
        <v>170</v>
      </c>
      <c r="F177" s="235"/>
      <c r="G177" s="152">
        <f>749.8+3.1</f>
        <v>752.9</v>
      </c>
      <c r="H177" s="11"/>
    </row>
    <row r="178" spans="1:8" ht="15">
      <c r="A178" s="8" t="s">
        <v>71</v>
      </c>
      <c r="B178" s="9" t="s">
        <v>68</v>
      </c>
      <c r="C178" s="9" t="s">
        <v>70</v>
      </c>
      <c r="D178" s="10" t="s">
        <v>43</v>
      </c>
      <c r="E178" s="10" t="s">
        <v>43</v>
      </c>
      <c r="F178" s="11" t="e">
        <f>#REF!+#REF!</f>
        <v>#REF!</v>
      </c>
      <c r="G178" s="11">
        <f>G189+G183+G179+G195</f>
        <v>139709.7</v>
      </c>
      <c r="H178" s="11" t="e">
        <f>#REF!-F178</f>
        <v>#REF!</v>
      </c>
    </row>
    <row r="179" spans="1:8" ht="30.75">
      <c r="A179" s="12" t="s">
        <v>167</v>
      </c>
      <c r="B179" s="9" t="s">
        <v>68</v>
      </c>
      <c r="C179" s="9" t="s">
        <v>70</v>
      </c>
      <c r="D179" s="14" t="s">
        <v>168</v>
      </c>
      <c r="E179" s="14"/>
      <c r="F179" s="15">
        <f aca="true" t="shared" si="5" ref="F179:G181">F180</f>
        <v>994.9000000000001</v>
      </c>
      <c r="G179" s="15">
        <f t="shared" si="5"/>
        <v>2042.3</v>
      </c>
      <c r="H179" s="72"/>
    </row>
    <row r="180" spans="1:8" ht="46.5">
      <c r="A180" s="12" t="s">
        <v>253</v>
      </c>
      <c r="B180" s="9" t="s">
        <v>68</v>
      </c>
      <c r="C180" s="9" t="s">
        <v>70</v>
      </c>
      <c r="D180" s="14" t="s">
        <v>246</v>
      </c>
      <c r="E180" s="14"/>
      <c r="F180" s="15">
        <f t="shared" si="5"/>
        <v>994.9000000000001</v>
      </c>
      <c r="G180" s="15">
        <f t="shared" si="5"/>
        <v>2042.3</v>
      </c>
      <c r="H180" s="72"/>
    </row>
    <row r="181" spans="1:8" ht="30.75">
      <c r="A181" s="8" t="s">
        <v>252</v>
      </c>
      <c r="B181" s="9" t="s">
        <v>68</v>
      </c>
      <c r="C181" s="9" t="s">
        <v>70</v>
      </c>
      <c r="D181" s="10" t="s">
        <v>246</v>
      </c>
      <c r="E181" s="10"/>
      <c r="F181" s="11">
        <f t="shared" si="5"/>
        <v>994.9000000000001</v>
      </c>
      <c r="G181" s="11">
        <f t="shared" si="5"/>
        <v>2042.3</v>
      </c>
      <c r="H181" s="72"/>
    </row>
    <row r="182" spans="1:8" ht="15">
      <c r="A182" s="24" t="s">
        <v>169</v>
      </c>
      <c r="B182" s="25" t="s">
        <v>68</v>
      </c>
      <c r="C182" s="25" t="s">
        <v>70</v>
      </c>
      <c r="D182" s="26" t="s">
        <v>246</v>
      </c>
      <c r="E182" s="26" t="s">
        <v>170</v>
      </c>
      <c r="F182" s="27">
        <f>1444.9-450</f>
        <v>994.9000000000001</v>
      </c>
      <c r="G182" s="27">
        <f>200+1842.3</f>
        <v>2042.3</v>
      </c>
      <c r="H182" s="72"/>
    </row>
    <row r="183" spans="1:8" ht="15">
      <c r="A183" s="8" t="s">
        <v>351</v>
      </c>
      <c r="B183" s="9" t="s">
        <v>68</v>
      </c>
      <c r="C183" s="9" t="s">
        <v>70</v>
      </c>
      <c r="D183" s="10" t="s">
        <v>352</v>
      </c>
      <c r="E183" s="10"/>
      <c r="F183" s="11"/>
      <c r="G183" s="11">
        <f>G184</f>
        <v>618</v>
      </c>
      <c r="H183" s="72"/>
    </row>
    <row r="184" spans="1:8" ht="15">
      <c r="A184" s="8" t="s">
        <v>353</v>
      </c>
      <c r="B184" s="9" t="s">
        <v>68</v>
      </c>
      <c r="C184" s="9" t="s">
        <v>70</v>
      </c>
      <c r="D184" s="10" t="s">
        <v>354</v>
      </c>
      <c r="E184" s="10"/>
      <c r="F184" s="11"/>
      <c r="G184" s="11">
        <f>G185+G187</f>
        <v>618</v>
      </c>
      <c r="H184" s="72"/>
    </row>
    <row r="185" spans="1:8" ht="15">
      <c r="A185" s="36" t="s">
        <v>355</v>
      </c>
      <c r="B185" s="34" t="s">
        <v>68</v>
      </c>
      <c r="C185" s="34" t="s">
        <v>70</v>
      </c>
      <c r="D185" s="35" t="s">
        <v>356</v>
      </c>
      <c r="E185" s="37"/>
      <c r="F185" s="11"/>
      <c r="G185" s="11">
        <f>G186</f>
        <v>118</v>
      </c>
      <c r="H185" s="72"/>
    </row>
    <row r="186" spans="1:8" ht="15">
      <c r="A186" s="62" t="s">
        <v>553</v>
      </c>
      <c r="B186" s="165" t="s">
        <v>68</v>
      </c>
      <c r="C186" s="165" t="s">
        <v>70</v>
      </c>
      <c r="D186" s="31" t="s">
        <v>356</v>
      </c>
      <c r="E186" s="31" t="s">
        <v>147</v>
      </c>
      <c r="F186" s="164"/>
      <c r="G186" s="32">
        <v>118</v>
      </c>
      <c r="H186" s="72"/>
    </row>
    <row r="187" spans="1:8" ht="30.75">
      <c r="A187" s="36" t="s">
        <v>101</v>
      </c>
      <c r="B187" s="34" t="s">
        <v>68</v>
      </c>
      <c r="C187" s="34" t="s">
        <v>70</v>
      </c>
      <c r="D187" s="35" t="s">
        <v>100</v>
      </c>
      <c r="E187" s="37"/>
      <c r="F187" s="11"/>
      <c r="G187" s="11">
        <f>G188</f>
        <v>500</v>
      </c>
      <c r="H187" s="72"/>
    </row>
    <row r="188" spans="1:8" ht="15">
      <c r="A188" s="62" t="s">
        <v>553</v>
      </c>
      <c r="B188" s="165" t="s">
        <v>68</v>
      </c>
      <c r="C188" s="165" t="s">
        <v>70</v>
      </c>
      <c r="D188" s="31" t="s">
        <v>100</v>
      </c>
      <c r="E188" s="31" t="s">
        <v>147</v>
      </c>
      <c r="F188" s="164"/>
      <c r="G188" s="32">
        <v>500</v>
      </c>
      <c r="H188" s="72"/>
    </row>
    <row r="189" spans="1:8" ht="15.75" customHeight="1">
      <c r="A189" s="12" t="s">
        <v>18</v>
      </c>
      <c r="B189" s="9" t="s">
        <v>68</v>
      </c>
      <c r="C189" s="9" t="s">
        <v>70</v>
      </c>
      <c r="D189" s="14" t="s">
        <v>17</v>
      </c>
      <c r="E189" s="10"/>
      <c r="F189" s="11"/>
      <c r="G189" s="11">
        <f>G190</f>
        <v>115049.4</v>
      </c>
      <c r="H189" s="41"/>
    </row>
    <row r="190" spans="1:8" ht="15">
      <c r="A190" s="12" t="s">
        <v>16</v>
      </c>
      <c r="B190" s="9" t="s">
        <v>68</v>
      </c>
      <c r="C190" s="9" t="s">
        <v>70</v>
      </c>
      <c r="D190" s="14" t="s">
        <v>15</v>
      </c>
      <c r="E190" s="10"/>
      <c r="F190" s="11"/>
      <c r="G190" s="11">
        <f>G191+G193</f>
        <v>115049.4</v>
      </c>
      <c r="H190" s="41"/>
    </row>
    <row r="191" spans="1:8" ht="30.75">
      <c r="A191" s="8" t="s">
        <v>13</v>
      </c>
      <c r="B191" s="9" t="s">
        <v>68</v>
      </c>
      <c r="C191" s="9" t="s">
        <v>70</v>
      </c>
      <c r="D191" s="10" t="s">
        <v>14</v>
      </c>
      <c r="E191" s="10"/>
      <c r="F191" s="11"/>
      <c r="G191" s="11">
        <f>G192</f>
        <v>114049.4</v>
      </c>
      <c r="H191" s="41"/>
    </row>
    <row r="192" spans="1:8" ht="15">
      <c r="A192" s="30" t="s">
        <v>414</v>
      </c>
      <c r="B192" s="158" t="s">
        <v>68</v>
      </c>
      <c r="C192" s="158" t="s">
        <v>70</v>
      </c>
      <c r="D192" s="31" t="s">
        <v>14</v>
      </c>
      <c r="E192" s="163" t="s">
        <v>556</v>
      </c>
      <c r="F192" s="106" t="s">
        <v>12</v>
      </c>
      <c r="G192" s="106">
        <f>117370-2981-339.6</f>
        <v>114049.4</v>
      </c>
      <c r="H192" s="41"/>
    </row>
    <row r="193" spans="1:8" ht="62.25">
      <c r="A193" s="8" t="s">
        <v>38</v>
      </c>
      <c r="B193" s="9" t="s">
        <v>68</v>
      </c>
      <c r="C193" s="9" t="s">
        <v>70</v>
      </c>
      <c r="D193" s="10" t="s">
        <v>37</v>
      </c>
      <c r="E193" s="10"/>
      <c r="F193" s="11"/>
      <c r="G193" s="11">
        <f>G194</f>
        <v>1000</v>
      </c>
      <c r="H193" s="41"/>
    </row>
    <row r="194" spans="1:8" ht="15">
      <c r="A194" s="30" t="s">
        <v>414</v>
      </c>
      <c r="B194" s="158" t="s">
        <v>68</v>
      </c>
      <c r="C194" s="158" t="s">
        <v>70</v>
      </c>
      <c r="D194" s="31" t="s">
        <v>37</v>
      </c>
      <c r="E194" s="163" t="s">
        <v>147</v>
      </c>
      <c r="F194" s="106" t="s">
        <v>12</v>
      </c>
      <c r="G194" s="106">
        <v>1000</v>
      </c>
      <c r="H194" s="41"/>
    </row>
    <row r="195" spans="1:8" ht="15">
      <c r="A195" s="8" t="s">
        <v>247</v>
      </c>
      <c r="B195" s="9" t="s">
        <v>68</v>
      </c>
      <c r="C195" s="9" t="s">
        <v>70</v>
      </c>
      <c r="D195" s="10" t="s">
        <v>248</v>
      </c>
      <c r="E195" s="10"/>
      <c r="F195" s="11"/>
      <c r="G195" s="11">
        <f>G196</f>
        <v>22000</v>
      </c>
      <c r="H195" s="41"/>
    </row>
    <row r="196" spans="1:8" ht="30.75">
      <c r="A196" s="8" t="s">
        <v>455</v>
      </c>
      <c r="B196" s="9" t="s">
        <v>68</v>
      </c>
      <c r="C196" s="9" t="s">
        <v>70</v>
      </c>
      <c r="D196" s="10" t="s">
        <v>456</v>
      </c>
      <c r="E196" s="37"/>
      <c r="F196" s="11"/>
      <c r="G196" s="11">
        <f>G197</f>
        <v>22000</v>
      </c>
      <c r="H196" s="41"/>
    </row>
    <row r="197" spans="1:8" ht="15">
      <c r="A197" s="24" t="s">
        <v>169</v>
      </c>
      <c r="B197" s="68" t="s">
        <v>68</v>
      </c>
      <c r="C197" s="68" t="s">
        <v>70</v>
      </c>
      <c r="D197" s="26" t="s">
        <v>456</v>
      </c>
      <c r="E197" s="26" t="s">
        <v>170</v>
      </c>
      <c r="F197" s="202"/>
      <c r="G197" s="27">
        <v>22000</v>
      </c>
      <c r="H197" s="41"/>
    </row>
    <row r="198" spans="1:8" ht="15">
      <c r="A198" s="51" t="s">
        <v>413</v>
      </c>
      <c r="B198" s="45" t="s">
        <v>68</v>
      </c>
      <c r="C198" s="45" t="s">
        <v>415</v>
      </c>
      <c r="D198" s="47"/>
      <c r="E198" s="89"/>
      <c r="F198" s="161"/>
      <c r="G198" s="48">
        <f>G199</f>
        <v>1138</v>
      </c>
      <c r="H198" s="41"/>
    </row>
    <row r="199" spans="1:8" ht="15">
      <c r="A199" s="12" t="s">
        <v>18</v>
      </c>
      <c r="B199" s="9" t="s">
        <v>68</v>
      </c>
      <c r="C199" s="9" t="s">
        <v>415</v>
      </c>
      <c r="D199" s="14" t="s">
        <v>17</v>
      </c>
      <c r="E199" s="10"/>
      <c r="F199" s="11"/>
      <c r="G199" s="11">
        <f>G200</f>
        <v>1138</v>
      </c>
      <c r="H199" s="41"/>
    </row>
    <row r="200" spans="1:8" ht="15">
      <c r="A200" s="12" t="s">
        <v>16</v>
      </c>
      <c r="B200" s="9" t="s">
        <v>68</v>
      </c>
      <c r="C200" s="9" t="s">
        <v>415</v>
      </c>
      <c r="D200" s="14" t="s">
        <v>15</v>
      </c>
      <c r="E200" s="10"/>
      <c r="F200" s="11"/>
      <c r="G200" s="11">
        <f>G201</f>
        <v>1138</v>
      </c>
      <c r="H200" s="41"/>
    </row>
    <row r="201" spans="1:8" ht="30.75">
      <c r="A201" s="8" t="s">
        <v>13</v>
      </c>
      <c r="B201" s="9" t="s">
        <v>68</v>
      </c>
      <c r="C201" s="9" t="s">
        <v>415</v>
      </c>
      <c r="D201" s="10" t="s">
        <v>14</v>
      </c>
      <c r="E201" s="10"/>
      <c r="F201" s="11"/>
      <c r="G201" s="11">
        <f>G202</f>
        <v>1138</v>
      </c>
      <c r="H201" s="41"/>
    </row>
    <row r="202" spans="1:8" ht="15">
      <c r="A202" s="16" t="s">
        <v>414</v>
      </c>
      <c r="B202" s="52" t="s">
        <v>68</v>
      </c>
      <c r="C202" s="52" t="s">
        <v>415</v>
      </c>
      <c r="D202" s="18" t="s">
        <v>14</v>
      </c>
      <c r="E202" s="60" t="s">
        <v>556</v>
      </c>
      <c r="F202" s="61" t="s">
        <v>12</v>
      </c>
      <c r="G202" s="61">
        <v>1138</v>
      </c>
      <c r="H202" s="41"/>
    </row>
    <row r="203" spans="1:8" ht="15">
      <c r="A203" s="49" t="s">
        <v>73</v>
      </c>
      <c r="B203" s="50" t="s">
        <v>72</v>
      </c>
      <c r="C203" s="50"/>
      <c r="D203" s="10" t="s">
        <v>43</v>
      </c>
      <c r="E203" s="10" t="s">
        <v>43</v>
      </c>
      <c r="F203" s="11" t="e">
        <f>F204+F248+F353+F364</f>
        <v>#REF!</v>
      </c>
      <c r="G203" s="11">
        <f>G204+G248+G353+G364</f>
        <v>1065694.5</v>
      </c>
      <c r="H203" s="11" t="e">
        <f>#REF!-F203</f>
        <v>#REF!</v>
      </c>
    </row>
    <row r="204" spans="1:8" ht="15">
      <c r="A204" s="8" t="s">
        <v>75</v>
      </c>
      <c r="B204" s="9" t="s">
        <v>72</v>
      </c>
      <c r="C204" s="9" t="s">
        <v>74</v>
      </c>
      <c r="D204" s="10" t="s">
        <v>43</v>
      </c>
      <c r="E204" s="10" t="s">
        <v>43</v>
      </c>
      <c r="F204" s="11" t="e">
        <f>F205+F230</f>
        <v>#REF!</v>
      </c>
      <c r="G204" s="11">
        <f>G205+G230+G225+G219+G213</f>
        <v>417030.8</v>
      </c>
      <c r="H204" s="11" t="e">
        <f>#REF!-F204</f>
        <v>#REF!</v>
      </c>
    </row>
    <row r="205" spans="1:8" ht="15">
      <c r="A205" s="12" t="s">
        <v>76</v>
      </c>
      <c r="B205" s="13" t="s">
        <v>72</v>
      </c>
      <c r="C205" s="13" t="s">
        <v>74</v>
      </c>
      <c r="D205" s="14" t="s">
        <v>171</v>
      </c>
      <c r="E205" s="14" t="s">
        <v>43</v>
      </c>
      <c r="F205" s="15" t="e">
        <f>#REF!+F208</f>
        <v>#REF!</v>
      </c>
      <c r="G205" s="15">
        <f>G208+G206</f>
        <v>254640.5</v>
      </c>
      <c r="H205" s="15" t="e">
        <f>#REF!-F205</f>
        <v>#REF!</v>
      </c>
    </row>
    <row r="206" spans="1:8" ht="30.75">
      <c r="A206" s="8" t="s">
        <v>173</v>
      </c>
      <c r="B206" s="9" t="s">
        <v>72</v>
      </c>
      <c r="C206" s="9" t="s">
        <v>74</v>
      </c>
      <c r="D206" s="10" t="s">
        <v>291</v>
      </c>
      <c r="E206" s="10"/>
      <c r="F206" s="11">
        <f>F207</f>
        <v>19352.7</v>
      </c>
      <c r="G206" s="11">
        <f>G207</f>
        <v>5116.7</v>
      </c>
      <c r="H206" s="15"/>
    </row>
    <row r="207" spans="1:8" ht="15">
      <c r="A207" s="16" t="s">
        <v>553</v>
      </c>
      <c r="B207" s="17" t="s">
        <v>72</v>
      </c>
      <c r="C207" s="17" t="s">
        <v>74</v>
      </c>
      <c r="D207" s="18" t="s">
        <v>291</v>
      </c>
      <c r="E207" s="18" t="s">
        <v>147</v>
      </c>
      <c r="F207" s="19">
        <f>20340.4-1040+52.3</f>
        <v>19352.7</v>
      </c>
      <c r="G207" s="19">
        <f>5067.5+49.2</f>
        <v>5116.7</v>
      </c>
      <c r="H207" s="15"/>
    </row>
    <row r="208" spans="1:8" ht="30.75">
      <c r="A208" s="51" t="s">
        <v>221</v>
      </c>
      <c r="B208" s="45" t="s">
        <v>72</v>
      </c>
      <c r="C208" s="45" t="s">
        <v>74</v>
      </c>
      <c r="D208" s="46" t="s">
        <v>172</v>
      </c>
      <c r="E208" s="46"/>
      <c r="F208" s="48">
        <f>F209</f>
        <v>228306</v>
      </c>
      <c r="G208" s="48">
        <f>G209+G210+G212+G211</f>
        <v>249523.8</v>
      </c>
      <c r="H208" s="11" t="e">
        <f>#REF!-F208</f>
        <v>#REF!</v>
      </c>
    </row>
    <row r="209" spans="1:8" ht="15">
      <c r="A209" s="20" t="s">
        <v>553</v>
      </c>
      <c r="B209" s="22" t="s">
        <v>72</v>
      </c>
      <c r="C209" s="21" t="s">
        <v>74</v>
      </c>
      <c r="D209" s="22" t="s">
        <v>172</v>
      </c>
      <c r="E209" s="22" t="s">
        <v>147</v>
      </c>
      <c r="F209" s="141">
        <f>225921.1-193.3+154.5+2128.8+44.9+150+100</f>
        <v>228306</v>
      </c>
      <c r="G209" s="141">
        <f>6816.5+60</f>
        <v>6876.5</v>
      </c>
      <c r="H209" s="64" t="e">
        <f>#REF!-F209</f>
        <v>#REF!</v>
      </c>
    </row>
    <row r="210" spans="1:8" ht="30">
      <c r="A210" s="20" t="s">
        <v>311</v>
      </c>
      <c r="B210" s="21" t="s">
        <v>72</v>
      </c>
      <c r="C210" s="21" t="s">
        <v>74</v>
      </c>
      <c r="D210" s="22" t="s">
        <v>172</v>
      </c>
      <c r="E210" s="22" t="s">
        <v>312</v>
      </c>
      <c r="F210" s="23"/>
      <c r="G210" s="23">
        <f>142317.5-1721.3</f>
        <v>140596.2</v>
      </c>
      <c r="H210" s="67"/>
    </row>
    <row r="211" spans="1:8" ht="30">
      <c r="A211" s="16" t="s">
        <v>559</v>
      </c>
      <c r="B211" s="18" t="s">
        <v>72</v>
      </c>
      <c r="C211" s="17" t="s">
        <v>74</v>
      </c>
      <c r="D211" s="18" t="s">
        <v>172</v>
      </c>
      <c r="E211" s="18" t="s">
        <v>557</v>
      </c>
      <c r="F211" s="147"/>
      <c r="G211" s="151">
        <v>101631.2</v>
      </c>
      <c r="H211" s="67"/>
    </row>
    <row r="212" spans="1:8" ht="15">
      <c r="A212" s="30" t="s">
        <v>314</v>
      </c>
      <c r="B212" s="31" t="s">
        <v>72</v>
      </c>
      <c r="C212" s="39" t="s">
        <v>74</v>
      </c>
      <c r="D212" s="31" t="s">
        <v>172</v>
      </c>
      <c r="E212" s="31" t="s">
        <v>313</v>
      </c>
      <c r="F212" s="146"/>
      <c r="G212" s="152">
        <v>419.9</v>
      </c>
      <c r="H212" s="67"/>
    </row>
    <row r="213" spans="1:8" ht="15">
      <c r="A213" s="107" t="s">
        <v>111</v>
      </c>
      <c r="B213" s="173" t="s">
        <v>72</v>
      </c>
      <c r="C213" s="173" t="s">
        <v>74</v>
      </c>
      <c r="D213" s="108" t="s">
        <v>179</v>
      </c>
      <c r="E213" s="40"/>
      <c r="F213" s="172"/>
      <c r="G213" s="174">
        <f>G214</f>
        <v>2110</v>
      </c>
      <c r="H213" s="67"/>
    </row>
    <row r="214" spans="1:8" ht="30.75">
      <c r="A214" s="107" t="s">
        <v>416</v>
      </c>
      <c r="B214" s="173" t="s">
        <v>72</v>
      </c>
      <c r="C214" s="173" t="s">
        <v>74</v>
      </c>
      <c r="D214" s="108" t="s">
        <v>417</v>
      </c>
      <c r="E214" s="40"/>
      <c r="F214" s="172"/>
      <c r="G214" s="174">
        <f>G215</f>
        <v>2110</v>
      </c>
      <c r="H214" s="67"/>
    </row>
    <row r="215" spans="1:8" ht="46.5">
      <c r="A215" s="107" t="s">
        <v>430</v>
      </c>
      <c r="B215" s="173" t="s">
        <v>72</v>
      </c>
      <c r="C215" s="173" t="s">
        <v>74</v>
      </c>
      <c r="D215" s="108" t="s">
        <v>418</v>
      </c>
      <c r="E215" s="40"/>
      <c r="F215" s="172"/>
      <c r="G215" s="174">
        <f>SUM(G216:G218)</f>
        <v>2110</v>
      </c>
      <c r="H215" s="67"/>
    </row>
    <row r="216" spans="1:8" ht="15">
      <c r="A216" s="84" t="s">
        <v>553</v>
      </c>
      <c r="B216" s="85" t="s">
        <v>72</v>
      </c>
      <c r="C216" s="85" t="s">
        <v>74</v>
      </c>
      <c r="D216" s="37" t="s">
        <v>418</v>
      </c>
      <c r="E216" s="37" t="s">
        <v>147</v>
      </c>
      <c r="F216" s="245"/>
      <c r="G216" s="249">
        <f>256.7+200</f>
        <v>456.7</v>
      </c>
      <c r="H216" s="67"/>
    </row>
    <row r="217" spans="1:8" ht="30">
      <c r="A217" s="16" t="s">
        <v>311</v>
      </c>
      <c r="B217" s="17" t="s">
        <v>72</v>
      </c>
      <c r="C217" s="17" t="s">
        <v>74</v>
      </c>
      <c r="D217" s="18" t="s">
        <v>418</v>
      </c>
      <c r="E217" s="18" t="s">
        <v>312</v>
      </c>
      <c r="F217" s="147"/>
      <c r="G217" s="151">
        <f>648.2-100</f>
        <v>548.2</v>
      </c>
      <c r="H217" s="67"/>
    </row>
    <row r="218" spans="1:8" ht="15">
      <c r="A218" s="30" t="s">
        <v>314</v>
      </c>
      <c r="B218" s="39" t="s">
        <v>72</v>
      </c>
      <c r="C218" s="39" t="s">
        <v>74</v>
      </c>
      <c r="D218" s="31" t="s">
        <v>418</v>
      </c>
      <c r="E218" s="31" t="s">
        <v>313</v>
      </c>
      <c r="F218" s="146"/>
      <c r="G218" s="152">
        <v>1105.1</v>
      </c>
      <c r="H218" s="67"/>
    </row>
    <row r="219" spans="1:8" ht="15">
      <c r="A219" s="51" t="s">
        <v>18</v>
      </c>
      <c r="B219" s="45" t="s">
        <v>72</v>
      </c>
      <c r="C219" s="45" t="s">
        <v>74</v>
      </c>
      <c r="D219" s="46" t="s">
        <v>17</v>
      </c>
      <c r="E219" s="47"/>
      <c r="F219" s="142"/>
      <c r="G219" s="143">
        <f>G220</f>
        <v>13143.3</v>
      </c>
      <c r="H219" s="67"/>
    </row>
    <row r="220" spans="1:8" ht="46.5">
      <c r="A220" s="8" t="s">
        <v>423</v>
      </c>
      <c r="B220" s="54" t="s">
        <v>72</v>
      </c>
      <c r="C220" s="54" t="s">
        <v>74</v>
      </c>
      <c r="D220" s="54" t="s">
        <v>330</v>
      </c>
      <c r="E220" s="37"/>
      <c r="F220" s="145"/>
      <c r="G220" s="114">
        <f>G221</f>
        <v>13143.3</v>
      </c>
      <c r="H220" s="67"/>
    </row>
    <row r="221" spans="1:8" ht="78">
      <c r="A221" s="201" t="s">
        <v>134</v>
      </c>
      <c r="B221" s="134" t="s">
        <v>72</v>
      </c>
      <c r="C221" s="134" t="s">
        <v>74</v>
      </c>
      <c r="D221" s="134" t="s">
        <v>331</v>
      </c>
      <c r="E221" s="43"/>
      <c r="F221" s="144"/>
      <c r="G221" s="197">
        <f>G222+G223+G224</f>
        <v>13143.3</v>
      </c>
      <c r="H221" s="67"/>
    </row>
    <row r="222" spans="1:8" ht="15">
      <c r="A222" s="84" t="s">
        <v>553</v>
      </c>
      <c r="B222" s="37" t="s">
        <v>72</v>
      </c>
      <c r="C222" s="37" t="s">
        <v>74</v>
      </c>
      <c r="D222" s="37" t="s">
        <v>331</v>
      </c>
      <c r="E222" s="37" t="s">
        <v>147</v>
      </c>
      <c r="F222" s="145"/>
      <c r="G222" s="149">
        <v>1926.2</v>
      </c>
      <c r="H222" s="67"/>
    </row>
    <row r="223" spans="1:8" ht="30">
      <c r="A223" s="16" t="s">
        <v>311</v>
      </c>
      <c r="B223" s="18" t="s">
        <v>72</v>
      </c>
      <c r="C223" s="17" t="s">
        <v>74</v>
      </c>
      <c r="D223" s="18" t="s">
        <v>331</v>
      </c>
      <c r="E223" s="18" t="s">
        <v>312</v>
      </c>
      <c r="F223" s="147"/>
      <c r="G223" s="64">
        <v>5057.6</v>
      </c>
      <c r="H223" s="67"/>
    </row>
    <row r="224" spans="1:8" ht="15">
      <c r="A224" s="30" t="s">
        <v>314</v>
      </c>
      <c r="B224" s="31" t="s">
        <v>72</v>
      </c>
      <c r="C224" s="39" t="s">
        <v>74</v>
      </c>
      <c r="D224" s="31" t="s">
        <v>331</v>
      </c>
      <c r="E224" s="31" t="s">
        <v>313</v>
      </c>
      <c r="F224" s="146"/>
      <c r="G224" s="150">
        <v>6159.5</v>
      </c>
      <c r="H224" s="67"/>
    </row>
    <row r="225" spans="1:8" ht="15">
      <c r="A225" s="44" t="s">
        <v>247</v>
      </c>
      <c r="B225" s="66" t="s">
        <v>72</v>
      </c>
      <c r="C225" s="45" t="s">
        <v>74</v>
      </c>
      <c r="D225" s="46" t="s">
        <v>248</v>
      </c>
      <c r="E225" s="47"/>
      <c r="F225" s="139"/>
      <c r="G225" s="140">
        <f>G226</f>
        <v>129018</v>
      </c>
      <c r="H225" s="67"/>
    </row>
    <row r="226" spans="1:8" ht="30.75">
      <c r="A226" s="12" t="s">
        <v>328</v>
      </c>
      <c r="B226" s="246" t="s">
        <v>72</v>
      </c>
      <c r="C226" s="246" t="s">
        <v>74</v>
      </c>
      <c r="D226" s="14" t="s">
        <v>329</v>
      </c>
      <c r="E226" s="43"/>
      <c r="F226" s="247"/>
      <c r="G226" s="248">
        <f>SUM(G227:G229)</f>
        <v>129018</v>
      </c>
      <c r="H226" s="67"/>
    </row>
    <row r="227" spans="1:8" ht="15">
      <c r="A227" s="84" t="s">
        <v>169</v>
      </c>
      <c r="B227" s="85" t="s">
        <v>72</v>
      </c>
      <c r="C227" s="85" t="s">
        <v>74</v>
      </c>
      <c r="D227" s="37" t="s">
        <v>329</v>
      </c>
      <c r="E227" s="37" t="s">
        <v>147</v>
      </c>
      <c r="F227" s="245"/>
      <c r="G227" s="223">
        <v>61987</v>
      </c>
      <c r="H227" s="67"/>
    </row>
    <row r="228" spans="1:8" ht="15">
      <c r="A228" s="16" t="s">
        <v>169</v>
      </c>
      <c r="B228" s="17" t="s">
        <v>72</v>
      </c>
      <c r="C228" s="17" t="s">
        <v>74</v>
      </c>
      <c r="D228" s="18" t="s">
        <v>329</v>
      </c>
      <c r="E228" s="18" t="s">
        <v>170</v>
      </c>
      <c r="F228" s="147"/>
      <c r="G228" s="116">
        <v>66909</v>
      </c>
      <c r="H228" s="67"/>
    </row>
    <row r="229" spans="1:8" ht="15">
      <c r="A229" s="30" t="s">
        <v>320</v>
      </c>
      <c r="B229" s="39" t="s">
        <v>72</v>
      </c>
      <c r="C229" s="39" t="s">
        <v>74</v>
      </c>
      <c r="D229" s="31" t="s">
        <v>329</v>
      </c>
      <c r="E229" s="31" t="s">
        <v>317</v>
      </c>
      <c r="F229" s="146"/>
      <c r="G229" s="152">
        <v>122</v>
      </c>
      <c r="H229" s="67"/>
    </row>
    <row r="230" spans="1:8" ht="15">
      <c r="A230" s="8" t="s">
        <v>113</v>
      </c>
      <c r="B230" s="9" t="s">
        <v>72</v>
      </c>
      <c r="C230" s="9" t="s">
        <v>74</v>
      </c>
      <c r="D230" s="10" t="s">
        <v>157</v>
      </c>
      <c r="E230" s="10" t="s">
        <v>43</v>
      </c>
      <c r="F230" s="11">
        <f>F238</f>
        <v>3527.5</v>
      </c>
      <c r="G230" s="11">
        <f>G238+G243+G234+G231+G241</f>
        <v>18119</v>
      </c>
      <c r="H230" s="67"/>
    </row>
    <row r="231" spans="1:8" ht="30.75">
      <c r="A231" s="12" t="s">
        <v>560</v>
      </c>
      <c r="B231" s="13" t="s">
        <v>72</v>
      </c>
      <c r="C231" s="13" t="s">
        <v>74</v>
      </c>
      <c r="D231" s="14" t="s">
        <v>558</v>
      </c>
      <c r="E231" s="14"/>
      <c r="F231" s="15"/>
      <c r="G231" s="15">
        <f>G233+G232</f>
        <v>12359</v>
      </c>
      <c r="H231" s="67"/>
    </row>
    <row r="232" spans="1:8" ht="15">
      <c r="A232" s="84" t="s">
        <v>553</v>
      </c>
      <c r="B232" s="85" t="s">
        <v>72</v>
      </c>
      <c r="C232" s="85" t="s">
        <v>74</v>
      </c>
      <c r="D232" s="37" t="s">
        <v>558</v>
      </c>
      <c r="E232" s="37" t="s">
        <v>147</v>
      </c>
      <c r="F232" s="86"/>
      <c r="G232" s="86">
        <f>2354.6+502.4+405</f>
        <v>3262</v>
      </c>
      <c r="H232" s="67"/>
    </row>
    <row r="233" spans="1:8" ht="15">
      <c r="A233" s="30" t="s">
        <v>169</v>
      </c>
      <c r="B233" s="39" t="s">
        <v>72</v>
      </c>
      <c r="C233" s="39" t="s">
        <v>74</v>
      </c>
      <c r="D233" s="31" t="s">
        <v>558</v>
      </c>
      <c r="E233" s="31" t="s">
        <v>170</v>
      </c>
      <c r="F233" s="164"/>
      <c r="G233" s="32">
        <f>3725+2000+3250+122</f>
        <v>9097</v>
      </c>
      <c r="H233" s="67"/>
    </row>
    <row r="234" spans="1:8" ht="30.75">
      <c r="A234" s="12" t="s">
        <v>24</v>
      </c>
      <c r="B234" s="13" t="s">
        <v>72</v>
      </c>
      <c r="C234" s="13" t="s">
        <v>74</v>
      </c>
      <c r="D234" s="14" t="s">
        <v>188</v>
      </c>
      <c r="E234" s="14"/>
      <c r="F234" s="15"/>
      <c r="G234" s="15">
        <f>G235</f>
        <v>530.6</v>
      </c>
      <c r="H234" s="67"/>
    </row>
    <row r="235" spans="1:8" ht="30.75" customHeight="1">
      <c r="A235" s="12" t="s">
        <v>517</v>
      </c>
      <c r="B235" s="13" t="s">
        <v>72</v>
      </c>
      <c r="C235" s="13" t="s">
        <v>74</v>
      </c>
      <c r="D235" s="14" t="s">
        <v>277</v>
      </c>
      <c r="E235" s="14"/>
      <c r="F235" s="15"/>
      <c r="G235" s="15">
        <f>SUM(G236:G237)</f>
        <v>530.6</v>
      </c>
      <c r="H235" s="67"/>
    </row>
    <row r="236" spans="1:8" ht="30">
      <c r="A236" s="84" t="s">
        <v>311</v>
      </c>
      <c r="B236" s="85" t="s">
        <v>72</v>
      </c>
      <c r="C236" s="85" t="s">
        <v>74</v>
      </c>
      <c r="D236" s="37" t="s">
        <v>277</v>
      </c>
      <c r="E236" s="37" t="s">
        <v>312</v>
      </c>
      <c r="F236" s="11"/>
      <c r="G236" s="86">
        <v>434.5</v>
      </c>
      <c r="H236" s="67"/>
    </row>
    <row r="237" spans="1:8" ht="15">
      <c r="A237" s="30" t="s">
        <v>314</v>
      </c>
      <c r="B237" s="39" t="s">
        <v>72</v>
      </c>
      <c r="C237" s="39" t="s">
        <v>74</v>
      </c>
      <c r="D237" s="31" t="s">
        <v>277</v>
      </c>
      <c r="E237" s="31" t="s">
        <v>313</v>
      </c>
      <c r="F237" s="164"/>
      <c r="G237" s="32">
        <v>96.1</v>
      </c>
      <c r="H237" s="67"/>
    </row>
    <row r="238" spans="1:8" ht="69.75" customHeight="1">
      <c r="A238" s="65" t="s">
        <v>576</v>
      </c>
      <c r="B238" s="13" t="s">
        <v>72</v>
      </c>
      <c r="C238" s="13" t="s">
        <v>74</v>
      </c>
      <c r="D238" s="14" t="s">
        <v>577</v>
      </c>
      <c r="E238" s="14"/>
      <c r="F238" s="15">
        <f>F239</f>
        <v>3527.5</v>
      </c>
      <c r="G238" s="15">
        <f>G239</f>
        <v>2133.5</v>
      </c>
      <c r="H238" s="67"/>
    </row>
    <row r="239" spans="1:8" ht="33.75" customHeight="1">
      <c r="A239" s="36" t="s">
        <v>578</v>
      </c>
      <c r="B239" s="9" t="s">
        <v>72</v>
      </c>
      <c r="C239" s="9" t="s">
        <v>74</v>
      </c>
      <c r="D239" s="10" t="s">
        <v>579</v>
      </c>
      <c r="E239" s="10"/>
      <c r="F239" s="11">
        <f>F240</f>
        <v>3527.5</v>
      </c>
      <c r="G239" s="11">
        <f>G240</f>
        <v>2133.5</v>
      </c>
      <c r="H239" s="67"/>
    </row>
    <row r="240" spans="1:8" ht="15">
      <c r="A240" s="30" t="s">
        <v>553</v>
      </c>
      <c r="B240" s="39" t="s">
        <v>72</v>
      </c>
      <c r="C240" s="39" t="s">
        <v>74</v>
      </c>
      <c r="D240" s="31" t="s">
        <v>579</v>
      </c>
      <c r="E240" s="31" t="s">
        <v>147</v>
      </c>
      <c r="F240" s="32">
        <f>4100-572.5</f>
        <v>3527.5</v>
      </c>
      <c r="G240" s="32">
        <v>2133.5</v>
      </c>
      <c r="H240" s="67"/>
    </row>
    <row r="241" spans="1:8" ht="46.5">
      <c r="A241" s="8" t="s">
        <v>597</v>
      </c>
      <c r="B241" s="9" t="s">
        <v>72</v>
      </c>
      <c r="C241" s="9" t="s">
        <v>74</v>
      </c>
      <c r="D241" s="10" t="s">
        <v>596</v>
      </c>
      <c r="E241" s="37"/>
      <c r="F241" s="86"/>
      <c r="G241" s="11">
        <f>G242</f>
        <v>100</v>
      </c>
      <c r="H241" s="67"/>
    </row>
    <row r="242" spans="1:8" ht="30">
      <c r="A242" s="73" t="s">
        <v>311</v>
      </c>
      <c r="B242" s="68" t="s">
        <v>72</v>
      </c>
      <c r="C242" s="68" t="s">
        <v>74</v>
      </c>
      <c r="D242" s="43" t="s">
        <v>596</v>
      </c>
      <c r="E242" s="31" t="s">
        <v>312</v>
      </c>
      <c r="F242" s="72"/>
      <c r="G242" s="32">
        <v>100</v>
      </c>
      <c r="H242" s="67"/>
    </row>
    <row r="243" spans="1:8" ht="30.75">
      <c r="A243" s="65" t="s">
        <v>599</v>
      </c>
      <c r="B243" s="13" t="s">
        <v>72</v>
      </c>
      <c r="C243" s="13" t="s">
        <v>74</v>
      </c>
      <c r="D243" s="14" t="s">
        <v>598</v>
      </c>
      <c r="E243" s="14"/>
      <c r="F243" s="15">
        <f>F246</f>
        <v>3527.5</v>
      </c>
      <c r="G243" s="15">
        <f>G244+G245+G246+G247</f>
        <v>2995.9</v>
      </c>
      <c r="H243" s="67"/>
    </row>
    <row r="244" spans="1:8" ht="15">
      <c r="A244" s="204" t="s">
        <v>553</v>
      </c>
      <c r="B244" s="37" t="s">
        <v>72</v>
      </c>
      <c r="C244" s="85" t="s">
        <v>74</v>
      </c>
      <c r="D244" s="37" t="s">
        <v>598</v>
      </c>
      <c r="E244" s="37" t="s">
        <v>147</v>
      </c>
      <c r="F244" s="11"/>
      <c r="G244" s="86">
        <v>141.7</v>
      </c>
      <c r="H244" s="67"/>
    </row>
    <row r="245" spans="1:8" ht="30">
      <c r="A245" s="205" t="s">
        <v>311</v>
      </c>
      <c r="B245" s="22" t="s">
        <v>72</v>
      </c>
      <c r="C245" s="17" t="s">
        <v>74</v>
      </c>
      <c r="D245" s="18" t="s">
        <v>598</v>
      </c>
      <c r="E245" s="22" t="s">
        <v>312</v>
      </c>
      <c r="F245" s="7"/>
      <c r="G245" s="23">
        <v>1414.7</v>
      </c>
      <c r="H245" s="67"/>
    </row>
    <row r="246" spans="1:8" ht="15">
      <c r="A246" s="205" t="s">
        <v>132</v>
      </c>
      <c r="B246" s="18" t="s">
        <v>72</v>
      </c>
      <c r="C246" s="17" t="s">
        <v>74</v>
      </c>
      <c r="D246" s="18" t="s">
        <v>598</v>
      </c>
      <c r="E246" s="18" t="s">
        <v>131</v>
      </c>
      <c r="F246" s="19">
        <f>4100-572.5</f>
        <v>3527.5</v>
      </c>
      <c r="G246" s="19">
        <f>176.7+25.8</f>
        <v>202.5</v>
      </c>
      <c r="H246" s="67"/>
    </row>
    <row r="247" spans="1:8" ht="15">
      <c r="A247" s="16" t="s">
        <v>314</v>
      </c>
      <c r="B247" s="18" t="s">
        <v>72</v>
      </c>
      <c r="C247" s="17" t="s">
        <v>74</v>
      </c>
      <c r="D247" s="18" t="s">
        <v>598</v>
      </c>
      <c r="E247" s="18" t="s">
        <v>313</v>
      </c>
      <c r="F247" s="19">
        <f>4100-572.5</f>
        <v>3527.5</v>
      </c>
      <c r="G247" s="19">
        <v>1237</v>
      </c>
      <c r="H247" s="67"/>
    </row>
    <row r="248" spans="1:8" ht="15">
      <c r="A248" s="8" t="s">
        <v>78</v>
      </c>
      <c r="B248" s="9" t="s">
        <v>72</v>
      </c>
      <c r="C248" s="9" t="s">
        <v>77</v>
      </c>
      <c r="D248" s="10" t="s">
        <v>43</v>
      </c>
      <c r="E248" s="10" t="s">
        <v>43</v>
      </c>
      <c r="F248" s="11" t="e">
        <f>F253+F266+#REF!+F284+#REF!+F323</f>
        <v>#REF!</v>
      </c>
      <c r="G248" s="11">
        <f>G253+G266+G278+G281+G297+G315+G323+G287+G249</f>
        <v>624536.2000000001</v>
      </c>
      <c r="H248" s="11" t="e">
        <f>#REF!-F248</f>
        <v>#REF!</v>
      </c>
    </row>
    <row r="249" spans="1:8" ht="15">
      <c r="A249" s="12" t="s">
        <v>54</v>
      </c>
      <c r="B249" s="9" t="s">
        <v>72</v>
      </c>
      <c r="C249" s="9" t="s">
        <v>77</v>
      </c>
      <c r="D249" s="14" t="s">
        <v>143</v>
      </c>
      <c r="E249" s="14"/>
      <c r="F249" s="41"/>
      <c r="G249" s="48">
        <f>G250</f>
        <v>300</v>
      </c>
      <c r="H249" s="11"/>
    </row>
    <row r="250" spans="1:8" ht="30.75">
      <c r="A250" s="12" t="s">
        <v>458</v>
      </c>
      <c r="B250" s="9" t="s">
        <v>72</v>
      </c>
      <c r="C250" s="9" t="s">
        <v>77</v>
      </c>
      <c r="D250" s="14" t="s">
        <v>457</v>
      </c>
      <c r="E250" s="14"/>
      <c r="F250" s="41"/>
      <c r="G250" s="48">
        <f>G251</f>
        <v>300</v>
      </c>
      <c r="H250" s="11"/>
    </row>
    <row r="251" spans="1:8" ht="15">
      <c r="A251" s="8" t="s">
        <v>382</v>
      </c>
      <c r="B251" s="9" t="s">
        <v>72</v>
      </c>
      <c r="C251" s="9" t="s">
        <v>77</v>
      </c>
      <c r="D251" s="10" t="s">
        <v>381</v>
      </c>
      <c r="E251" s="10"/>
      <c r="F251" s="41"/>
      <c r="G251" s="7">
        <f>G252</f>
        <v>300</v>
      </c>
      <c r="H251" s="11"/>
    </row>
    <row r="252" spans="1:8" ht="15">
      <c r="A252" s="73" t="s">
        <v>553</v>
      </c>
      <c r="B252" s="68" t="s">
        <v>72</v>
      </c>
      <c r="C252" s="68" t="s">
        <v>77</v>
      </c>
      <c r="D252" s="43" t="s">
        <v>381</v>
      </c>
      <c r="E252" s="43" t="s">
        <v>147</v>
      </c>
      <c r="F252" s="41"/>
      <c r="G252" s="41">
        <v>300</v>
      </c>
      <c r="H252" s="11"/>
    </row>
    <row r="253" spans="1:8" ht="15">
      <c r="A253" s="8" t="s">
        <v>79</v>
      </c>
      <c r="B253" s="9" t="s">
        <v>72</v>
      </c>
      <c r="C253" s="9" t="s">
        <v>77</v>
      </c>
      <c r="D253" s="10" t="s">
        <v>174</v>
      </c>
      <c r="E253" s="10" t="s">
        <v>43</v>
      </c>
      <c r="F253" s="11">
        <f>F254+F256</f>
        <v>318987.69999999995</v>
      </c>
      <c r="G253" s="11">
        <f>G254+G256</f>
        <v>118539.90000000001</v>
      </c>
      <c r="H253" s="11" t="e">
        <f>#REF!-F253</f>
        <v>#REF!</v>
      </c>
    </row>
    <row r="254" spans="1:8" ht="30.75">
      <c r="A254" s="8" t="s">
        <v>173</v>
      </c>
      <c r="B254" s="9" t="s">
        <v>72</v>
      </c>
      <c r="C254" s="9" t="s">
        <v>77</v>
      </c>
      <c r="D254" s="10" t="s">
        <v>175</v>
      </c>
      <c r="E254" s="10"/>
      <c r="F254" s="11">
        <f>F255</f>
        <v>19352.7</v>
      </c>
      <c r="G254" s="11">
        <f>G255</f>
        <v>16397.3</v>
      </c>
      <c r="H254" s="11" t="e">
        <f>#REF!-F254</f>
        <v>#REF!</v>
      </c>
    </row>
    <row r="255" spans="1:8" ht="15">
      <c r="A255" s="16" t="s">
        <v>553</v>
      </c>
      <c r="B255" s="17" t="s">
        <v>72</v>
      </c>
      <c r="C255" s="17" t="s">
        <v>77</v>
      </c>
      <c r="D255" s="18" t="s">
        <v>175</v>
      </c>
      <c r="E255" s="18" t="s">
        <v>147</v>
      </c>
      <c r="F255" s="19">
        <f>20340.4-1040+52.3</f>
        <v>19352.7</v>
      </c>
      <c r="G255" s="19">
        <f>16819.1-451.6+29.8</f>
        <v>16397.3</v>
      </c>
      <c r="H255" s="19" t="e">
        <f>#REF!-F255</f>
        <v>#REF!</v>
      </c>
    </row>
    <row r="256" spans="1:8" ht="33" customHeight="1">
      <c r="A256" s="8" t="s">
        <v>221</v>
      </c>
      <c r="B256" s="9" t="s">
        <v>72</v>
      </c>
      <c r="C256" s="9" t="s">
        <v>77</v>
      </c>
      <c r="D256" s="10" t="s">
        <v>176</v>
      </c>
      <c r="E256" s="10"/>
      <c r="F256" s="11">
        <f>F257+F262</f>
        <v>299634.99999999994</v>
      </c>
      <c r="G256" s="11">
        <f>G257+G262</f>
        <v>102142.6</v>
      </c>
      <c r="H256" s="11" t="e">
        <f>#REF!-F256</f>
        <v>#REF!</v>
      </c>
    </row>
    <row r="257" spans="1:8" ht="15" customHeight="1">
      <c r="A257" s="51" t="s">
        <v>79</v>
      </c>
      <c r="B257" s="45" t="s">
        <v>72</v>
      </c>
      <c r="C257" s="45" t="s">
        <v>77</v>
      </c>
      <c r="D257" s="46" t="s">
        <v>177</v>
      </c>
      <c r="E257" s="46"/>
      <c r="F257" s="48">
        <f>F258</f>
        <v>296341.39999999997</v>
      </c>
      <c r="G257" s="48">
        <f>SUM(G258:G261)</f>
        <v>102067.8</v>
      </c>
      <c r="H257" s="11" t="e">
        <f>#REF!-F257</f>
        <v>#REF!</v>
      </c>
    </row>
    <row r="258" spans="1:8" ht="15">
      <c r="A258" s="20" t="s">
        <v>553</v>
      </c>
      <c r="B258" s="21" t="s">
        <v>72</v>
      </c>
      <c r="C258" s="21" t="s">
        <v>77</v>
      </c>
      <c r="D258" s="22" t="s">
        <v>177</v>
      </c>
      <c r="E258" s="22" t="s">
        <v>147</v>
      </c>
      <c r="F258" s="23">
        <f>293806.6+191.7+43.5+1590.6+409.6+299.4</f>
        <v>296341.39999999997</v>
      </c>
      <c r="G258" s="23">
        <f>59385.4+440</f>
        <v>59825.4</v>
      </c>
      <c r="H258" s="19" t="e">
        <f>#REF!-F258</f>
        <v>#REF!</v>
      </c>
    </row>
    <row r="259" spans="1:8" ht="30">
      <c r="A259" s="20" t="s">
        <v>311</v>
      </c>
      <c r="B259" s="21" t="s">
        <v>72</v>
      </c>
      <c r="C259" s="21" t="s">
        <v>77</v>
      </c>
      <c r="D259" s="22" t="s">
        <v>177</v>
      </c>
      <c r="E259" s="22" t="s">
        <v>312</v>
      </c>
      <c r="F259" s="23"/>
      <c r="G259" s="23">
        <f>26253.8-600-57.4</f>
        <v>25596.399999999998</v>
      </c>
      <c r="H259" s="23"/>
    </row>
    <row r="260" spans="1:8" ht="30">
      <c r="A260" s="20" t="s">
        <v>559</v>
      </c>
      <c r="B260" s="17" t="s">
        <v>72</v>
      </c>
      <c r="C260" s="17" t="s">
        <v>77</v>
      </c>
      <c r="D260" s="18" t="s">
        <v>177</v>
      </c>
      <c r="E260" s="18" t="s">
        <v>557</v>
      </c>
      <c r="F260" s="19">
        <f>293806.6+191.7+43.5+1590.6+409.6+299.4</f>
        <v>296341.39999999997</v>
      </c>
      <c r="G260" s="19">
        <v>15684.9</v>
      </c>
      <c r="H260" s="23"/>
    </row>
    <row r="261" spans="1:8" ht="15">
      <c r="A261" s="16" t="s">
        <v>314</v>
      </c>
      <c r="B261" s="17" t="s">
        <v>72</v>
      </c>
      <c r="C261" s="17" t="s">
        <v>77</v>
      </c>
      <c r="D261" s="18" t="s">
        <v>177</v>
      </c>
      <c r="E261" s="18" t="s">
        <v>313</v>
      </c>
      <c r="F261" s="19"/>
      <c r="G261" s="19">
        <f>920.3+40.8</f>
        <v>961.0999999999999</v>
      </c>
      <c r="H261" s="23"/>
    </row>
    <row r="262" spans="1:8" ht="16.5" customHeight="1">
      <c r="A262" s="12" t="s">
        <v>80</v>
      </c>
      <c r="B262" s="13" t="s">
        <v>72</v>
      </c>
      <c r="C262" s="13" t="s">
        <v>77</v>
      </c>
      <c r="D262" s="14" t="s">
        <v>178</v>
      </c>
      <c r="E262" s="14"/>
      <c r="F262" s="15">
        <f>F264</f>
        <v>3293.6</v>
      </c>
      <c r="G262" s="15">
        <f>SUM(G263:G265)</f>
        <v>74.80000000000001</v>
      </c>
      <c r="H262" s="11" t="e">
        <f>#REF!-F262</f>
        <v>#REF!</v>
      </c>
    </row>
    <row r="263" spans="1:8" ht="30">
      <c r="A263" s="84" t="s">
        <v>311</v>
      </c>
      <c r="B263" s="85" t="s">
        <v>72</v>
      </c>
      <c r="C263" s="85" t="s">
        <v>77</v>
      </c>
      <c r="D263" s="37" t="s">
        <v>178</v>
      </c>
      <c r="E263" s="37" t="s">
        <v>312</v>
      </c>
      <c r="F263" s="86"/>
      <c r="G263" s="86">
        <v>38.7</v>
      </c>
      <c r="H263" s="7"/>
    </row>
    <row r="264" spans="1:8" ht="30">
      <c r="A264" s="16" t="s">
        <v>559</v>
      </c>
      <c r="B264" s="17" t="s">
        <v>72</v>
      </c>
      <c r="C264" s="17" t="s">
        <v>77</v>
      </c>
      <c r="D264" s="18" t="s">
        <v>178</v>
      </c>
      <c r="E264" s="18" t="s">
        <v>557</v>
      </c>
      <c r="F264" s="19">
        <f>66.4+3227.2</f>
        <v>3293.6</v>
      </c>
      <c r="G264" s="19">
        <v>30.7</v>
      </c>
      <c r="H264" s="19" t="e">
        <f>#REF!-F264</f>
        <v>#REF!</v>
      </c>
    </row>
    <row r="265" spans="1:8" ht="15">
      <c r="A265" s="30" t="s">
        <v>314</v>
      </c>
      <c r="B265" s="39" t="s">
        <v>72</v>
      </c>
      <c r="C265" s="39" t="s">
        <v>77</v>
      </c>
      <c r="D265" s="31" t="s">
        <v>178</v>
      </c>
      <c r="E265" s="31" t="s">
        <v>313</v>
      </c>
      <c r="F265" s="32">
        <f>66.4+3227.2</f>
        <v>3293.6</v>
      </c>
      <c r="G265" s="32">
        <v>5.4</v>
      </c>
      <c r="H265" s="23"/>
    </row>
    <row r="266" spans="1:8" ht="15">
      <c r="A266" s="51" t="s">
        <v>81</v>
      </c>
      <c r="B266" s="45" t="s">
        <v>72</v>
      </c>
      <c r="C266" s="45" t="s">
        <v>77</v>
      </c>
      <c r="D266" s="46" t="s">
        <v>180</v>
      </c>
      <c r="E266" s="46" t="s">
        <v>43</v>
      </c>
      <c r="F266" s="11" t="e">
        <f>#REF!+F269</f>
        <v>#REF!</v>
      </c>
      <c r="G266" s="11">
        <f>G269+G267</f>
        <v>150078.09999999998</v>
      </c>
      <c r="H266" s="11" t="e">
        <f>#REF!-F266</f>
        <v>#REF!</v>
      </c>
    </row>
    <row r="267" spans="1:8" ht="30.75">
      <c r="A267" s="69" t="s">
        <v>173</v>
      </c>
      <c r="B267" s="70" t="s">
        <v>72</v>
      </c>
      <c r="C267" s="70" t="s">
        <v>77</v>
      </c>
      <c r="D267" s="71" t="s">
        <v>292</v>
      </c>
      <c r="E267" s="71"/>
      <c r="F267" s="11"/>
      <c r="G267" s="11">
        <f>G268</f>
        <v>3079.7999999999997</v>
      </c>
      <c r="H267" s="11"/>
    </row>
    <row r="268" spans="1:8" ht="15">
      <c r="A268" s="16" t="s">
        <v>553</v>
      </c>
      <c r="B268" s="17" t="s">
        <v>72</v>
      </c>
      <c r="C268" s="17" t="s">
        <v>77</v>
      </c>
      <c r="D268" s="18" t="s">
        <v>292</v>
      </c>
      <c r="E268" s="18" t="s">
        <v>147</v>
      </c>
      <c r="F268" s="19">
        <f>20340.4-1040+52.3</f>
        <v>19352.7</v>
      </c>
      <c r="G268" s="19">
        <f>1919.6+1200-39.8</f>
        <v>3079.7999999999997</v>
      </c>
      <c r="H268" s="11"/>
    </row>
    <row r="269" spans="1:8" ht="30.75">
      <c r="A269" s="8" t="s">
        <v>221</v>
      </c>
      <c r="B269" s="9" t="s">
        <v>72</v>
      </c>
      <c r="C269" s="9" t="s">
        <v>77</v>
      </c>
      <c r="D269" s="10" t="s">
        <v>181</v>
      </c>
      <c r="E269" s="10"/>
      <c r="F269" s="11">
        <f>F270+F274</f>
        <v>119524</v>
      </c>
      <c r="G269" s="11">
        <f>G270+G274</f>
        <v>146998.3</v>
      </c>
      <c r="H269" s="11" t="e">
        <f>#REF!-F269</f>
        <v>#REF!</v>
      </c>
    </row>
    <row r="270" spans="1:8" ht="15">
      <c r="A270" s="12" t="s">
        <v>81</v>
      </c>
      <c r="B270" s="13" t="s">
        <v>72</v>
      </c>
      <c r="C270" s="13" t="s">
        <v>77</v>
      </c>
      <c r="D270" s="14" t="s">
        <v>182</v>
      </c>
      <c r="E270" s="14"/>
      <c r="F270" s="15">
        <f>F272</f>
        <v>66066</v>
      </c>
      <c r="G270" s="15">
        <f>SUM(G271:G273)</f>
        <v>80836.20000000001</v>
      </c>
      <c r="H270" s="11" t="e">
        <f>#REF!-F270</f>
        <v>#REF!</v>
      </c>
    </row>
    <row r="271" spans="1:8" ht="31.5" customHeight="1">
      <c r="A271" s="84" t="s">
        <v>311</v>
      </c>
      <c r="B271" s="85" t="s">
        <v>72</v>
      </c>
      <c r="C271" s="85" t="s">
        <v>77</v>
      </c>
      <c r="D271" s="37" t="s">
        <v>182</v>
      </c>
      <c r="E271" s="37" t="s">
        <v>312</v>
      </c>
      <c r="F271" s="11"/>
      <c r="G271" s="86">
        <f>43475.1-100</f>
        <v>43375.1</v>
      </c>
      <c r="H271" s="7"/>
    </row>
    <row r="272" spans="1:8" ht="30">
      <c r="A272" s="16" t="s">
        <v>559</v>
      </c>
      <c r="B272" s="17" t="s">
        <v>72</v>
      </c>
      <c r="C272" s="17" t="s">
        <v>77</v>
      </c>
      <c r="D272" s="18" t="s">
        <v>182</v>
      </c>
      <c r="E272" s="18" t="s">
        <v>557</v>
      </c>
      <c r="F272" s="19">
        <f>67668-1665.4+54+9.4</f>
        <v>66066</v>
      </c>
      <c r="G272" s="19">
        <f>32669.5+4172.5</f>
        <v>36842</v>
      </c>
      <c r="H272" s="19" t="e">
        <f>#REF!-F272</f>
        <v>#REF!</v>
      </c>
    </row>
    <row r="273" spans="1:8" ht="15">
      <c r="A273" s="30" t="s">
        <v>314</v>
      </c>
      <c r="B273" s="39" t="s">
        <v>72</v>
      </c>
      <c r="C273" s="39" t="s">
        <v>77</v>
      </c>
      <c r="D273" s="31" t="s">
        <v>182</v>
      </c>
      <c r="E273" s="31" t="s">
        <v>313</v>
      </c>
      <c r="F273" s="32">
        <f>67668-1665.4+54+9.4</f>
        <v>66066</v>
      </c>
      <c r="G273" s="32">
        <f>92.8+26.3+500</f>
        <v>619.1</v>
      </c>
      <c r="H273" s="23"/>
    </row>
    <row r="274" spans="1:8" ht="15">
      <c r="A274" s="12" t="s">
        <v>82</v>
      </c>
      <c r="B274" s="13" t="s">
        <v>72</v>
      </c>
      <c r="C274" s="13" t="s">
        <v>77</v>
      </c>
      <c r="D274" s="14" t="s">
        <v>220</v>
      </c>
      <c r="E274" s="14"/>
      <c r="F274" s="15">
        <f>F276</f>
        <v>53458.00000000001</v>
      </c>
      <c r="G274" s="15">
        <f>G276+G275+G277</f>
        <v>66162.09999999999</v>
      </c>
      <c r="H274" s="11" t="e">
        <f>#REF!-F274</f>
        <v>#REF!</v>
      </c>
    </row>
    <row r="275" spans="1:8" ht="30">
      <c r="A275" s="84" t="s">
        <v>311</v>
      </c>
      <c r="B275" s="85" t="s">
        <v>72</v>
      </c>
      <c r="C275" s="85" t="s">
        <v>77</v>
      </c>
      <c r="D275" s="37" t="s">
        <v>220</v>
      </c>
      <c r="E275" s="37" t="s">
        <v>312</v>
      </c>
      <c r="F275" s="11"/>
      <c r="G275" s="86">
        <f>38758.9-600</f>
        <v>38158.9</v>
      </c>
      <c r="H275" s="7"/>
    </row>
    <row r="276" spans="1:8" ht="30">
      <c r="A276" s="16" t="s">
        <v>559</v>
      </c>
      <c r="B276" s="17" t="s">
        <v>72</v>
      </c>
      <c r="C276" s="17" t="s">
        <v>77</v>
      </c>
      <c r="D276" s="18" t="s">
        <v>220</v>
      </c>
      <c r="E276" s="18" t="s">
        <v>557</v>
      </c>
      <c r="F276" s="19">
        <f>53148.8+20+74-0.1+215.3</f>
        <v>53458.00000000001</v>
      </c>
      <c r="G276" s="19">
        <v>26937.8</v>
      </c>
      <c r="H276" s="19" t="e">
        <f>#REF!-F276</f>
        <v>#REF!</v>
      </c>
    </row>
    <row r="277" spans="1:8" ht="15">
      <c r="A277" s="30" t="s">
        <v>314</v>
      </c>
      <c r="B277" s="39" t="s">
        <v>72</v>
      </c>
      <c r="C277" s="39" t="s">
        <v>77</v>
      </c>
      <c r="D277" s="31" t="s">
        <v>220</v>
      </c>
      <c r="E277" s="31" t="s">
        <v>313</v>
      </c>
      <c r="F277" s="32"/>
      <c r="G277" s="32">
        <v>1065.4</v>
      </c>
      <c r="H277" s="23"/>
    </row>
    <row r="278" spans="1:8" ht="15">
      <c r="A278" s="28" t="s">
        <v>357</v>
      </c>
      <c r="B278" s="29" t="s">
        <v>72</v>
      </c>
      <c r="C278" s="29" t="s">
        <v>77</v>
      </c>
      <c r="D278" s="6" t="s">
        <v>358</v>
      </c>
      <c r="E278" s="6"/>
      <c r="F278" s="23"/>
      <c r="G278" s="109">
        <f>G279</f>
        <v>1300.4</v>
      </c>
      <c r="H278" s="23"/>
    </row>
    <row r="279" spans="1:8" ht="30.75">
      <c r="A279" s="8" t="s">
        <v>221</v>
      </c>
      <c r="B279" s="9" t="s">
        <v>72</v>
      </c>
      <c r="C279" s="9" t="s">
        <v>77</v>
      </c>
      <c r="D279" s="10" t="s">
        <v>359</v>
      </c>
      <c r="E279" s="10"/>
      <c r="F279" s="23"/>
      <c r="G279" s="7">
        <f>G280</f>
        <v>1300.4</v>
      </c>
      <c r="H279" s="23"/>
    </row>
    <row r="280" spans="1:8" ht="15">
      <c r="A280" s="20" t="s">
        <v>553</v>
      </c>
      <c r="B280" s="39" t="s">
        <v>72</v>
      </c>
      <c r="C280" s="39" t="s">
        <v>77</v>
      </c>
      <c r="D280" s="31" t="s">
        <v>359</v>
      </c>
      <c r="E280" s="31" t="s">
        <v>147</v>
      </c>
      <c r="F280" s="23"/>
      <c r="G280" s="23">
        <f>772.4+528</f>
        <v>1300.4</v>
      </c>
      <c r="H280" s="23"/>
    </row>
    <row r="281" spans="1:8" ht="15">
      <c r="A281" s="8" t="s">
        <v>538</v>
      </c>
      <c r="B281" s="9" t="s">
        <v>72</v>
      </c>
      <c r="C281" s="9" t="s">
        <v>77</v>
      </c>
      <c r="D281" s="10" t="s">
        <v>539</v>
      </c>
      <c r="E281" s="10"/>
      <c r="F281" s="11">
        <f>F282</f>
        <v>11024</v>
      </c>
      <c r="G281" s="11">
        <f>G282</f>
        <v>12497.800000000001</v>
      </c>
      <c r="H281" s="23"/>
    </row>
    <row r="282" spans="1:8" ht="15">
      <c r="A282" s="69" t="s">
        <v>540</v>
      </c>
      <c r="B282" s="250" t="s">
        <v>72</v>
      </c>
      <c r="C282" s="251" t="s">
        <v>77</v>
      </c>
      <c r="D282" s="250" t="s">
        <v>541</v>
      </c>
      <c r="E282" s="26"/>
      <c r="F282" s="27">
        <v>11024</v>
      </c>
      <c r="G282" s="202">
        <f>G284+G283+G285+G286</f>
        <v>12497.800000000001</v>
      </c>
      <c r="H282" s="23"/>
    </row>
    <row r="283" spans="1:8" ht="15">
      <c r="A283" s="84" t="s">
        <v>553</v>
      </c>
      <c r="B283" s="85" t="s">
        <v>72</v>
      </c>
      <c r="C283" s="85" t="s">
        <v>77</v>
      </c>
      <c r="D283" s="37" t="s">
        <v>541</v>
      </c>
      <c r="E283" s="37" t="s">
        <v>147</v>
      </c>
      <c r="F283" s="86"/>
      <c r="G283" s="86">
        <v>2587.1</v>
      </c>
      <c r="H283" s="23"/>
    </row>
    <row r="284" spans="1:8" ht="28.5" customHeight="1">
      <c r="A284" s="16" t="s">
        <v>311</v>
      </c>
      <c r="B284" s="17" t="s">
        <v>72</v>
      </c>
      <c r="C284" s="17" t="s">
        <v>77</v>
      </c>
      <c r="D284" s="18" t="s">
        <v>541</v>
      </c>
      <c r="E284" s="18" t="s">
        <v>312</v>
      </c>
      <c r="F284" s="19">
        <f>53148.8+20+74-0.1+215.3</f>
        <v>53458.00000000001</v>
      </c>
      <c r="G284" s="19">
        <v>3174.9</v>
      </c>
      <c r="H284" s="11" t="e">
        <f>#REF!-F284</f>
        <v>#REF!</v>
      </c>
    </row>
    <row r="285" spans="1:8" ht="15">
      <c r="A285" s="16" t="s">
        <v>132</v>
      </c>
      <c r="B285" s="18" t="s">
        <v>72</v>
      </c>
      <c r="C285" s="17" t="s">
        <v>77</v>
      </c>
      <c r="D285" s="18" t="s">
        <v>541</v>
      </c>
      <c r="E285" s="18" t="s">
        <v>131</v>
      </c>
      <c r="F285" s="19"/>
      <c r="G285" s="19">
        <v>5803.7</v>
      </c>
      <c r="H285" s="11"/>
    </row>
    <row r="286" spans="1:8" ht="15">
      <c r="A286" s="30" t="s">
        <v>314</v>
      </c>
      <c r="B286" s="31" t="s">
        <v>72</v>
      </c>
      <c r="C286" s="39" t="s">
        <v>77</v>
      </c>
      <c r="D286" s="31" t="s">
        <v>541</v>
      </c>
      <c r="E286" s="31" t="s">
        <v>313</v>
      </c>
      <c r="F286" s="32"/>
      <c r="G286" s="32">
        <v>932.1</v>
      </c>
      <c r="H286" s="11"/>
    </row>
    <row r="287" spans="1:8" ht="15" customHeight="1">
      <c r="A287" s="107" t="s">
        <v>111</v>
      </c>
      <c r="B287" s="186" t="s">
        <v>72</v>
      </c>
      <c r="C287" s="186" t="s">
        <v>77</v>
      </c>
      <c r="D287" s="71" t="s">
        <v>179</v>
      </c>
      <c r="E287" s="43"/>
      <c r="F287" s="41"/>
      <c r="G287" s="72">
        <f>G288+G292</f>
        <v>10764</v>
      </c>
      <c r="H287" s="11"/>
    </row>
    <row r="288" spans="1:8" ht="15">
      <c r="A288" s="51" t="s">
        <v>112</v>
      </c>
      <c r="B288" s="45" t="s">
        <v>72</v>
      </c>
      <c r="C288" s="45" t="s">
        <v>77</v>
      </c>
      <c r="D288" s="46" t="s">
        <v>183</v>
      </c>
      <c r="E288" s="46"/>
      <c r="F288" s="48">
        <f>F289</f>
        <v>4014.2</v>
      </c>
      <c r="G288" s="48">
        <f>G289+G291+G290</f>
        <v>8231.800000000001</v>
      </c>
      <c r="H288" s="11" t="e">
        <f>#REF!-F288</f>
        <v>#REF!</v>
      </c>
    </row>
    <row r="289" spans="1:8" ht="15">
      <c r="A289" s="20" t="s">
        <v>553</v>
      </c>
      <c r="B289" s="37" t="s">
        <v>72</v>
      </c>
      <c r="C289" s="85" t="s">
        <v>77</v>
      </c>
      <c r="D289" s="37" t="s">
        <v>183</v>
      </c>
      <c r="E289" s="37" t="s">
        <v>147</v>
      </c>
      <c r="F289" s="86">
        <v>4014.2</v>
      </c>
      <c r="G289" s="86">
        <v>1889.4</v>
      </c>
      <c r="H289" s="41" t="e">
        <f>#REF!-F289</f>
        <v>#REF!</v>
      </c>
    </row>
    <row r="290" spans="1:8" ht="30">
      <c r="A290" s="20" t="s">
        <v>311</v>
      </c>
      <c r="B290" s="68" t="s">
        <v>72</v>
      </c>
      <c r="C290" s="68" t="s">
        <v>77</v>
      </c>
      <c r="D290" s="43" t="s">
        <v>183</v>
      </c>
      <c r="E290" s="22" t="s">
        <v>312</v>
      </c>
      <c r="F290" s="23"/>
      <c r="G290" s="23">
        <v>2675.6</v>
      </c>
      <c r="H290" s="41"/>
    </row>
    <row r="291" spans="1:8" ht="15">
      <c r="A291" s="16" t="s">
        <v>314</v>
      </c>
      <c r="B291" s="17" t="s">
        <v>72</v>
      </c>
      <c r="C291" s="17" t="s">
        <v>77</v>
      </c>
      <c r="D291" s="18" t="s">
        <v>183</v>
      </c>
      <c r="E291" s="31" t="s">
        <v>313</v>
      </c>
      <c r="F291" s="32">
        <f>53148.8+20+74-0.1+215.3</f>
        <v>53458.00000000001</v>
      </c>
      <c r="G291" s="32">
        <v>3666.8</v>
      </c>
      <c r="H291" s="41"/>
    </row>
    <row r="292" spans="1:8" ht="30.75">
      <c r="A292" s="206" t="s">
        <v>416</v>
      </c>
      <c r="B292" s="66" t="s">
        <v>72</v>
      </c>
      <c r="C292" s="45" t="s">
        <v>77</v>
      </c>
      <c r="D292" s="46" t="s">
        <v>417</v>
      </c>
      <c r="E292" s="40"/>
      <c r="F292" s="63"/>
      <c r="G292" s="109">
        <f>G293</f>
        <v>2532.2</v>
      </c>
      <c r="H292" s="41"/>
    </row>
    <row r="293" spans="1:8" ht="46.5">
      <c r="A293" s="260" t="s">
        <v>430</v>
      </c>
      <c r="B293" s="157" t="s">
        <v>72</v>
      </c>
      <c r="C293" s="13" t="s">
        <v>77</v>
      </c>
      <c r="D293" s="14" t="s">
        <v>418</v>
      </c>
      <c r="E293" s="43"/>
      <c r="F293" s="41"/>
      <c r="G293" s="72">
        <f>G294+G295+G296</f>
        <v>2532.2</v>
      </c>
      <c r="H293" s="41"/>
    </row>
    <row r="294" spans="1:8" ht="15">
      <c r="A294" s="204" t="s">
        <v>553</v>
      </c>
      <c r="B294" s="37" t="s">
        <v>72</v>
      </c>
      <c r="C294" s="85" t="s">
        <v>77</v>
      </c>
      <c r="D294" s="37" t="s">
        <v>418</v>
      </c>
      <c r="E294" s="37" t="s">
        <v>147</v>
      </c>
      <c r="F294" s="86"/>
      <c r="G294" s="86">
        <v>1315.3</v>
      </c>
      <c r="H294" s="41"/>
    </row>
    <row r="295" spans="1:8" ht="30">
      <c r="A295" s="255" t="s">
        <v>311</v>
      </c>
      <c r="B295" s="18" t="s">
        <v>72</v>
      </c>
      <c r="C295" s="17" t="s">
        <v>77</v>
      </c>
      <c r="D295" s="18" t="s">
        <v>418</v>
      </c>
      <c r="E295" s="18" t="s">
        <v>312</v>
      </c>
      <c r="F295" s="19"/>
      <c r="G295" s="19">
        <v>351</v>
      </c>
      <c r="H295" s="41"/>
    </row>
    <row r="296" spans="1:8" ht="15">
      <c r="A296" s="30" t="s">
        <v>314</v>
      </c>
      <c r="B296" s="39" t="s">
        <v>72</v>
      </c>
      <c r="C296" s="39" t="s">
        <v>77</v>
      </c>
      <c r="D296" s="31" t="s">
        <v>418</v>
      </c>
      <c r="E296" s="31" t="s">
        <v>313</v>
      </c>
      <c r="F296" s="32"/>
      <c r="G296" s="32">
        <f>576.9+289</f>
        <v>865.9</v>
      </c>
      <c r="H296" s="41"/>
    </row>
    <row r="297" spans="1:8" ht="15">
      <c r="A297" s="51" t="s">
        <v>18</v>
      </c>
      <c r="B297" s="45" t="s">
        <v>72</v>
      </c>
      <c r="C297" s="45" t="s">
        <v>77</v>
      </c>
      <c r="D297" s="46" t="s">
        <v>17</v>
      </c>
      <c r="E297" s="47"/>
      <c r="F297" s="142"/>
      <c r="G297" s="143">
        <f>G298+G311+G306</f>
        <v>302242.39999999997</v>
      </c>
      <c r="H297" s="41"/>
    </row>
    <row r="298" spans="1:8" ht="46.5">
      <c r="A298" s="51" t="s">
        <v>423</v>
      </c>
      <c r="B298" s="66" t="s">
        <v>72</v>
      </c>
      <c r="C298" s="66" t="s">
        <v>77</v>
      </c>
      <c r="D298" s="66" t="s">
        <v>330</v>
      </c>
      <c r="E298" s="47"/>
      <c r="F298" s="142"/>
      <c r="G298" s="143">
        <f>G299+G304</f>
        <v>15008.3</v>
      </c>
      <c r="H298" s="41"/>
    </row>
    <row r="299" spans="1:8" ht="30.75">
      <c r="A299" s="190" t="s">
        <v>468</v>
      </c>
      <c r="B299" s="66" t="s">
        <v>72</v>
      </c>
      <c r="C299" s="66" t="s">
        <v>77</v>
      </c>
      <c r="D299" s="66" t="s">
        <v>459</v>
      </c>
      <c r="E299" s="47"/>
      <c r="F299" s="191"/>
      <c r="G299" s="143">
        <f>G300+G301+G303+G302</f>
        <v>6607</v>
      </c>
      <c r="H299" s="41"/>
    </row>
    <row r="300" spans="1:8" ht="15">
      <c r="A300" s="204" t="s">
        <v>553</v>
      </c>
      <c r="B300" s="37" t="s">
        <v>72</v>
      </c>
      <c r="C300" s="213" t="s">
        <v>77</v>
      </c>
      <c r="D300" s="213" t="s">
        <v>459</v>
      </c>
      <c r="E300" s="213" t="s">
        <v>147</v>
      </c>
      <c r="F300" s="181">
        <v>4110.88</v>
      </c>
      <c r="G300" s="223">
        <f>2160.1+1157.1</f>
        <v>3317.2</v>
      </c>
      <c r="H300" s="41"/>
    </row>
    <row r="301" spans="1:8" ht="30">
      <c r="A301" s="255" t="s">
        <v>311</v>
      </c>
      <c r="B301" s="18" t="s">
        <v>72</v>
      </c>
      <c r="C301" s="254" t="s">
        <v>77</v>
      </c>
      <c r="D301" s="254" t="s">
        <v>459</v>
      </c>
      <c r="E301" s="254" t="s">
        <v>312</v>
      </c>
      <c r="F301" s="253">
        <v>1630.47</v>
      </c>
      <c r="G301" s="116">
        <f>2415.3-299</f>
        <v>2116.3</v>
      </c>
      <c r="H301" s="41"/>
    </row>
    <row r="302" spans="1:8" ht="15">
      <c r="A302" s="228" t="s">
        <v>132</v>
      </c>
      <c r="B302" s="18" t="s">
        <v>72</v>
      </c>
      <c r="C302" s="252" t="s">
        <v>77</v>
      </c>
      <c r="D302" s="252" t="s">
        <v>459</v>
      </c>
      <c r="E302" s="252" t="s">
        <v>131</v>
      </c>
      <c r="F302" s="253"/>
      <c r="G302" s="116">
        <v>13.6</v>
      </c>
      <c r="H302" s="41"/>
    </row>
    <row r="303" spans="1:8" ht="15">
      <c r="A303" s="256" t="s">
        <v>314</v>
      </c>
      <c r="B303" s="31" t="s">
        <v>72</v>
      </c>
      <c r="C303" s="193" t="s">
        <v>77</v>
      </c>
      <c r="D303" s="193" t="s">
        <v>459</v>
      </c>
      <c r="E303" s="193" t="s">
        <v>313</v>
      </c>
      <c r="F303" s="194">
        <v>865.65</v>
      </c>
      <c r="G303" s="115">
        <f>860.9+299</f>
        <v>1159.9</v>
      </c>
      <c r="H303" s="41"/>
    </row>
    <row r="304" spans="1:8" ht="15">
      <c r="A304" s="192" t="s">
        <v>469</v>
      </c>
      <c r="B304" s="54" t="s">
        <v>72</v>
      </c>
      <c r="C304" s="264" t="s">
        <v>77</v>
      </c>
      <c r="D304" s="264" t="s">
        <v>460</v>
      </c>
      <c r="E304" s="213"/>
      <c r="F304" s="178"/>
      <c r="G304" s="177">
        <f>G305</f>
        <v>8401.3</v>
      </c>
      <c r="H304" s="41"/>
    </row>
    <row r="305" spans="1:8" ht="15">
      <c r="A305" s="256" t="s">
        <v>553</v>
      </c>
      <c r="B305" s="31" t="s">
        <v>72</v>
      </c>
      <c r="C305" s="193" t="s">
        <v>77</v>
      </c>
      <c r="D305" s="193" t="s">
        <v>460</v>
      </c>
      <c r="E305" s="193" t="s">
        <v>147</v>
      </c>
      <c r="F305" s="194">
        <v>11750.7</v>
      </c>
      <c r="G305" s="115">
        <v>8401.3</v>
      </c>
      <c r="H305" s="41"/>
    </row>
    <row r="306" spans="1:8" ht="78">
      <c r="A306" s="201" t="s">
        <v>422</v>
      </c>
      <c r="B306" s="66" t="s">
        <v>72</v>
      </c>
      <c r="C306" s="66" t="s">
        <v>77</v>
      </c>
      <c r="D306" s="66" t="s">
        <v>404</v>
      </c>
      <c r="E306" s="188"/>
      <c r="F306" s="189">
        <v>4110.88</v>
      </c>
      <c r="G306" s="143">
        <f>G307</f>
        <v>284607.3</v>
      </c>
      <c r="H306" s="41"/>
    </row>
    <row r="307" spans="1:8" ht="72.75" customHeight="1">
      <c r="A307" s="207" t="s">
        <v>433</v>
      </c>
      <c r="B307" s="78" t="s">
        <v>72</v>
      </c>
      <c r="C307" s="78" t="s">
        <v>77</v>
      </c>
      <c r="D307" s="78" t="s">
        <v>462</v>
      </c>
      <c r="E307" s="195"/>
      <c r="F307" s="189"/>
      <c r="G307" s="143">
        <f>G308+G309+G310</f>
        <v>284607.3</v>
      </c>
      <c r="H307" s="41"/>
    </row>
    <row r="308" spans="1:8" ht="15">
      <c r="A308" s="205" t="s">
        <v>553</v>
      </c>
      <c r="B308" s="22" t="s">
        <v>72</v>
      </c>
      <c r="C308" s="182" t="s">
        <v>77</v>
      </c>
      <c r="D308" s="182" t="s">
        <v>462</v>
      </c>
      <c r="E308" s="182" t="s">
        <v>147</v>
      </c>
      <c r="F308" s="178">
        <v>1630.47</v>
      </c>
      <c r="G308" s="265">
        <v>75658.2</v>
      </c>
      <c r="H308" s="41"/>
    </row>
    <row r="309" spans="1:8" ht="30">
      <c r="A309" s="205" t="s">
        <v>311</v>
      </c>
      <c r="B309" s="18" t="s">
        <v>72</v>
      </c>
      <c r="C309" s="208" t="s">
        <v>77</v>
      </c>
      <c r="D309" s="208" t="s">
        <v>462</v>
      </c>
      <c r="E309" s="208" t="s">
        <v>312</v>
      </c>
      <c r="F309" s="178">
        <v>865.65</v>
      </c>
      <c r="G309" s="116">
        <v>112394.8</v>
      </c>
      <c r="H309" s="41"/>
    </row>
    <row r="310" spans="1:8" ht="30">
      <c r="A310" s="205" t="s">
        <v>461</v>
      </c>
      <c r="B310" s="18" t="s">
        <v>72</v>
      </c>
      <c r="C310" s="208" t="s">
        <v>77</v>
      </c>
      <c r="D310" s="209" t="s">
        <v>462</v>
      </c>
      <c r="E310" s="209" t="s">
        <v>557</v>
      </c>
      <c r="F310" s="194">
        <v>11750.7</v>
      </c>
      <c r="G310" s="115">
        <v>96554.3</v>
      </c>
      <c r="H310" s="41"/>
    </row>
    <row r="311" spans="1:8" ht="15">
      <c r="A311" s="206" t="s">
        <v>16</v>
      </c>
      <c r="B311" s="66" t="s">
        <v>72</v>
      </c>
      <c r="C311" s="66" t="s">
        <v>77</v>
      </c>
      <c r="D311" s="210" t="s">
        <v>15</v>
      </c>
      <c r="E311" s="195"/>
      <c r="F311" s="179"/>
      <c r="G311" s="180">
        <f>G312</f>
        <v>2626.8</v>
      </c>
      <c r="H311" s="41"/>
    </row>
    <row r="312" spans="1:8" ht="30.75">
      <c r="A312" s="211" t="s">
        <v>470</v>
      </c>
      <c r="B312" s="54" t="s">
        <v>72</v>
      </c>
      <c r="C312" s="54" t="s">
        <v>77</v>
      </c>
      <c r="D312" s="212" t="s">
        <v>463</v>
      </c>
      <c r="E312" s="213"/>
      <c r="F312" s="181"/>
      <c r="G312" s="196">
        <f>G313+G314</f>
        <v>2626.8</v>
      </c>
      <c r="H312" s="41"/>
    </row>
    <row r="313" spans="1:8" ht="15">
      <c r="A313" s="205" t="s">
        <v>553</v>
      </c>
      <c r="B313" s="18" t="s">
        <v>72</v>
      </c>
      <c r="C313" s="252" t="s">
        <v>77</v>
      </c>
      <c r="D313" s="252" t="s">
        <v>463</v>
      </c>
      <c r="E313" s="252" t="s">
        <v>147</v>
      </c>
      <c r="F313" s="178"/>
      <c r="G313" s="261">
        <f>3000-275.1-373.2</f>
        <v>2351.7000000000003</v>
      </c>
      <c r="H313" s="41"/>
    </row>
    <row r="314" spans="1:8" ht="15">
      <c r="A314" s="256" t="s">
        <v>314</v>
      </c>
      <c r="B314" s="40" t="s">
        <v>72</v>
      </c>
      <c r="C314" s="195" t="s">
        <v>77</v>
      </c>
      <c r="D314" s="195" t="s">
        <v>463</v>
      </c>
      <c r="E314" s="195" t="s">
        <v>313</v>
      </c>
      <c r="F314" s="194">
        <v>865.65</v>
      </c>
      <c r="G314" s="115">
        <v>275.1</v>
      </c>
      <c r="H314" s="41"/>
    </row>
    <row r="315" spans="1:8" ht="15">
      <c r="A315" s="214" t="s">
        <v>247</v>
      </c>
      <c r="B315" s="66" t="s">
        <v>72</v>
      </c>
      <c r="C315" s="66" t="s">
        <v>77</v>
      </c>
      <c r="D315" s="46" t="s">
        <v>248</v>
      </c>
      <c r="E315" s="47"/>
      <c r="F315" s="191"/>
      <c r="G315" s="140">
        <f>G316+G319</f>
        <v>15892.8</v>
      </c>
      <c r="H315" s="41"/>
    </row>
    <row r="316" spans="1:8" ht="30.75">
      <c r="A316" s="218" t="s">
        <v>464</v>
      </c>
      <c r="B316" s="257" t="s">
        <v>72</v>
      </c>
      <c r="C316" s="257" t="s">
        <v>77</v>
      </c>
      <c r="D316" s="14" t="s">
        <v>318</v>
      </c>
      <c r="E316" s="43"/>
      <c r="F316" s="258"/>
      <c r="G316" s="248">
        <f>G317+G318</f>
        <v>742.8</v>
      </c>
      <c r="H316" s="41"/>
    </row>
    <row r="317" spans="1:8" ht="15">
      <c r="A317" s="222" t="s">
        <v>320</v>
      </c>
      <c r="B317" s="37" t="s">
        <v>72</v>
      </c>
      <c r="C317" s="37" t="s">
        <v>77</v>
      </c>
      <c r="D317" s="37" t="s">
        <v>318</v>
      </c>
      <c r="E317" s="37" t="s">
        <v>317</v>
      </c>
      <c r="F317" s="259"/>
      <c r="G317" s="145">
        <v>442</v>
      </c>
      <c r="H317" s="41"/>
    </row>
    <row r="318" spans="1:8" ht="15">
      <c r="A318" s="30" t="s">
        <v>314</v>
      </c>
      <c r="B318" s="31" t="s">
        <v>72</v>
      </c>
      <c r="C318" s="31" t="s">
        <v>77</v>
      </c>
      <c r="D318" s="31" t="s">
        <v>318</v>
      </c>
      <c r="E318" s="31" t="s">
        <v>313</v>
      </c>
      <c r="F318" s="235"/>
      <c r="G318" s="152">
        <v>300.8</v>
      </c>
      <c r="H318" s="41"/>
    </row>
    <row r="319" spans="1:8" ht="30.75">
      <c r="A319" s="219" t="s">
        <v>516</v>
      </c>
      <c r="B319" s="257" t="s">
        <v>72</v>
      </c>
      <c r="C319" s="257" t="s">
        <v>77</v>
      </c>
      <c r="D319" s="71" t="s">
        <v>326</v>
      </c>
      <c r="E319" s="43"/>
      <c r="F319" s="258"/>
      <c r="G319" s="248">
        <f>G321+G322+G320</f>
        <v>15150</v>
      </c>
      <c r="H319" s="41"/>
    </row>
    <row r="320" spans="1:8" ht="15">
      <c r="A320" s="84" t="s">
        <v>169</v>
      </c>
      <c r="B320" s="37" t="s">
        <v>72</v>
      </c>
      <c r="C320" s="37" t="s">
        <v>77</v>
      </c>
      <c r="D320" s="37" t="s">
        <v>326</v>
      </c>
      <c r="E320" s="37" t="s">
        <v>170</v>
      </c>
      <c r="F320" s="259"/>
      <c r="G320" s="145">
        <v>15000</v>
      </c>
      <c r="H320" s="41"/>
    </row>
    <row r="321" spans="1:8" ht="15">
      <c r="A321" s="228" t="s">
        <v>320</v>
      </c>
      <c r="B321" s="18" t="s">
        <v>72</v>
      </c>
      <c r="C321" s="18" t="s">
        <v>77</v>
      </c>
      <c r="D321" s="18" t="s">
        <v>326</v>
      </c>
      <c r="E321" s="18" t="s">
        <v>317</v>
      </c>
      <c r="F321" s="277"/>
      <c r="G321" s="151">
        <v>110.5</v>
      </c>
      <c r="H321" s="41"/>
    </row>
    <row r="322" spans="1:8" ht="15">
      <c r="A322" s="30" t="s">
        <v>314</v>
      </c>
      <c r="B322" s="31" t="s">
        <v>72</v>
      </c>
      <c r="C322" s="31" t="s">
        <v>77</v>
      </c>
      <c r="D322" s="31" t="s">
        <v>326</v>
      </c>
      <c r="E322" s="31" t="s">
        <v>313</v>
      </c>
      <c r="F322" s="235"/>
      <c r="G322" s="152">
        <v>39.5</v>
      </c>
      <c r="H322" s="41"/>
    </row>
    <row r="323" spans="1:8" ht="15">
      <c r="A323" s="215" t="s">
        <v>113</v>
      </c>
      <c r="B323" s="66" t="s">
        <v>72</v>
      </c>
      <c r="C323" s="66" t="s">
        <v>77</v>
      </c>
      <c r="D323" s="46" t="s">
        <v>157</v>
      </c>
      <c r="E323" s="46" t="s">
        <v>43</v>
      </c>
      <c r="F323" s="111" t="e">
        <f>#REF!+#REF!</f>
        <v>#REF!</v>
      </c>
      <c r="G323" s="11">
        <f>G324+G326+G335+G340+G344+G348</f>
        <v>12920.8</v>
      </c>
      <c r="H323" s="41"/>
    </row>
    <row r="324" spans="1:8" ht="30.75">
      <c r="A324" s="12" t="s">
        <v>560</v>
      </c>
      <c r="B324" s="13" t="s">
        <v>72</v>
      </c>
      <c r="C324" s="13" t="s">
        <v>77</v>
      </c>
      <c r="D324" s="14" t="s">
        <v>558</v>
      </c>
      <c r="E324" s="14"/>
      <c r="F324" s="15"/>
      <c r="G324" s="15">
        <f>G325</f>
        <v>4747.6</v>
      </c>
      <c r="H324" s="41"/>
    </row>
    <row r="325" spans="1:8" ht="15">
      <c r="A325" s="170" t="s">
        <v>169</v>
      </c>
      <c r="B325" s="171" t="s">
        <v>72</v>
      </c>
      <c r="C325" s="171" t="s">
        <v>77</v>
      </c>
      <c r="D325" s="130" t="s">
        <v>558</v>
      </c>
      <c r="E325" s="130" t="s">
        <v>170</v>
      </c>
      <c r="F325" s="15"/>
      <c r="G325" s="175">
        <v>4747.6</v>
      </c>
      <c r="H325" s="41"/>
    </row>
    <row r="326" spans="1:8" ht="30.75">
      <c r="A326" s="12" t="s">
        <v>24</v>
      </c>
      <c r="B326" s="13" t="s">
        <v>72</v>
      </c>
      <c r="C326" s="13" t="s">
        <v>77</v>
      </c>
      <c r="D326" s="14" t="s">
        <v>188</v>
      </c>
      <c r="E326" s="14"/>
      <c r="F326" s="15"/>
      <c r="G326" s="15">
        <f>G327+G331</f>
        <v>1083.6999999999998</v>
      </c>
      <c r="H326" s="41"/>
    </row>
    <row r="327" spans="1:8" ht="30.75">
      <c r="A327" s="12" t="s">
        <v>517</v>
      </c>
      <c r="B327" s="13" t="s">
        <v>72</v>
      </c>
      <c r="C327" s="13" t="s">
        <v>77</v>
      </c>
      <c r="D327" s="14" t="s">
        <v>277</v>
      </c>
      <c r="E327" s="14"/>
      <c r="F327" s="15"/>
      <c r="G327" s="15">
        <f>SUM(G328:G330)</f>
        <v>583.9</v>
      </c>
      <c r="H327" s="41"/>
    </row>
    <row r="328" spans="1:8" ht="15">
      <c r="A328" s="84" t="s">
        <v>553</v>
      </c>
      <c r="B328" s="85" t="s">
        <v>72</v>
      </c>
      <c r="C328" s="85" t="s">
        <v>77</v>
      </c>
      <c r="D328" s="37" t="s">
        <v>277</v>
      </c>
      <c r="E328" s="37" t="s">
        <v>147</v>
      </c>
      <c r="F328" s="11"/>
      <c r="G328" s="86">
        <v>228.4</v>
      </c>
      <c r="H328" s="41"/>
    </row>
    <row r="329" spans="1:8" ht="30">
      <c r="A329" s="16" t="s">
        <v>311</v>
      </c>
      <c r="B329" s="17" t="s">
        <v>72</v>
      </c>
      <c r="C329" s="17" t="s">
        <v>77</v>
      </c>
      <c r="D329" s="18" t="s">
        <v>277</v>
      </c>
      <c r="E329" s="18" t="s">
        <v>312</v>
      </c>
      <c r="F329" s="203"/>
      <c r="G329" s="19">
        <v>130.1</v>
      </c>
      <c r="H329" s="41"/>
    </row>
    <row r="330" spans="1:8" ht="15">
      <c r="A330" s="30" t="s">
        <v>314</v>
      </c>
      <c r="B330" s="39" t="s">
        <v>72</v>
      </c>
      <c r="C330" s="39" t="s">
        <v>77</v>
      </c>
      <c r="D330" s="31" t="s">
        <v>277</v>
      </c>
      <c r="E330" s="31" t="s">
        <v>313</v>
      </c>
      <c r="F330" s="164"/>
      <c r="G330" s="32">
        <v>225.4</v>
      </c>
      <c r="H330" s="41"/>
    </row>
    <row r="331" spans="1:8" ht="15">
      <c r="A331" s="107" t="s">
        <v>546</v>
      </c>
      <c r="B331" s="13" t="s">
        <v>72</v>
      </c>
      <c r="C331" s="13" t="s">
        <v>77</v>
      </c>
      <c r="D331" s="14" t="s">
        <v>278</v>
      </c>
      <c r="E331" s="43"/>
      <c r="F331" s="72"/>
      <c r="G331" s="72">
        <f>G332+G333+G334</f>
        <v>499.79999999999995</v>
      </c>
      <c r="H331" s="41"/>
    </row>
    <row r="332" spans="1:8" ht="15">
      <c r="A332" s="84" t="s">
        <v>553</v>
      </c>
      <c r="B332" s="85" t="s">
        <v>72</v>
      </c>
      <c r="C332" s="85" t="s">
        <v>77</v>
      </c>
      <c r="D332" s="37" t="s">
        <v>278</v>
      </c>
      <c r="E332" s="37" t="s">
        <v>147</v>
      </c>
      <c r="F332" s="11"/>
      <c r="G332" s="86">
        <v>141.1</v>
      </c>
      <c r="H332" s="41"/>
    </row>
    <row r="333" spans="1:8" ht="30">
      <c r="A333" s="16" t="s">
        <v>311</v>
      </c>
      <c r="B333" s="17" t="s">
        <v>72</v>
      </c>
      <c r="C333" s="17" t="s">
        <v>77</v>
      </c>
      <c r="D333" s="18" t="s">
        <v>278</v>
      </c>
      <c r="E333" s="18" t="s">
        <v>312</v>
      </c>
      <c r="F333" s="203"/>
      <c r="G333" s="19">
        <v>254.1</v>
      </c>
      <c r="H333" s="41"/>
    </row>
    <row r="334" spans="1:8" ht="15">
      <c r="A334" s="30" t="s">
        <v>314</v>
      </c>
      <c r="B334" s="39" t="s">
        <v>72</v>
      </c>
      <c r="C334" s="39" t="s">
        <v>77</v>
      </c>
      <c r="D334" s="31" t="s">
        <v>278</v>
      </c>
      <c r="E334" s="31" t="s">
        <v>313</v>
      </c>
      <c r="F334" s="164"/>
      <c r="G334" s="32">
        <v>104.6</v>
      </c>
      <c r="H334" s="41"/>
    </row>
    <row r="335" spans="1:8" ht="62.25">
      <c r="A335" s="107" t="s">
        <v>576</v>
      </c>
      <c r="B335" s="66" t="s">
        <v>72</v>
      </c>
      <c r="C335" s="45" t="s">
        <v>77</v>
      </c>
      <c r="D335" s="46" t="s">
        <v>577</v>
      </c>
      <c r="E335" s="47"/>
      <c r="F335" s="48"/>
      <c r="G335" s="48">
        <f>G336+G338</f>
        <v>466.5</v>
      </c>
      <c r="H335" s="41"/>
    </row>
    <row r="336" spans="1:8" ht="30.75">
      <c r="A336" s="8" t="s">
        <v>518</v>
      </c>
      <c r="B336" s="54" t="s">
        <v>72</v>
      </c>
      <c r="C336" s="9" t="s">
        <v>77</v>
      </c>
      <c r="D336" s="10" t="s">
        <v>520</v>
      </c>
      <c r="E336" s="37"/>
      <c r="F336" s="11"/>
      <c r="G336" s="11">
        <f>G337</f>
        <v>366.5</v>
      </c>
      <c r="H336" s="41"/>
    </row>
    <row r="337" spans="1:8" ht="15">
      <c r="A337" s="62" t="s">
        <v>553</v>
      </c>
      <c r="B337" s="21" t="s">
        <v>72</v>
      </c>
      <c r="C337" s="21" t="s">
        <v>77</v>
      </c>
      <c r="D337" s="22" t="s">
        <v>520</v>
      </c>
      <c r="E337" s="31" t="s">
        <v>147</v>
      </c>
      <c r="F337" s="164"/>
      <c r="G337" s="32">
        <v>366.5</v>
      </c>
      <c r="H337" s="41"/>
    </row>
    <row r="338" spans="1:8" ht="15">
      <c r="A338" s="8" t="s">
        <v>519</v>
      </c>
      <c r="B338" s="54" t="s">
        <v>72</v>
      </c>
      <c r="C338" s="9" t="s">
        <v>77</v>
      </c>
      <c r="D338" s="10" t="s">
        <v>521</v>
      </c>
      <c r="E338" s="43"/>
      <c r="F338" s="72"/>
      <c r="G338" s="168">
        <f>G339</f>
        <v>100</v>
      </c>
      <c r="H338" s="41"/>
    </row>
    <row r="339" spans="1:8" ht="30">
      <c r="A339" s="62" t="s">
        <v>311</v>
      </c>
      <c r="B339" s="165" t="s">
        <v>72</v>
      </c>
      <c r="C339" s="165" t="s">
        <v>77</v>
      </c>
      <c r="D339" s="40" t="s">
        <v>521</v>
      </c>
      <c r="E339" s="31" t="s">
        <v>312</v>
      </c>
      <c r="F339" s="164"/>
      <c r="G339" s="32">
        <v>100</v>
      </c>
      <c r="H339" s="41"/>
    </row>
    <row r="340" spans="1:8" ht="43.5" customHeight="1">
      <c r="A340" s="44" t="s">
        <v>580</v>
      </c>
      <c r="B340" s="13" t="s">
        <v>72</v>
      </c>
      <c r="C340" s="13" t="s">
        <v>77</v>
      </c>
      <c r="D340" s="14" t="s">
        <v>583</v>
      </c>
      <c r="E340" s="14"/>
      <c r="F340" s="15" t="e">
        <f>F341</f>
        <v>#REF!</v>
      </c>
      <c r="G340" s="15">
        <f>G341</f>
        <v>450</v>
      </c>
      <c r="H340" s="41"/>
    </row>
    <row r="341" spans="1:8" ht="61.5" customHeight="1">
      <c r="A341" s="44" t="s">
        <v>581</v>
      </c>
      <c r="B341" s="13" t="s">
        <v>72</v>
      </c>
      <c r="C341" s="13" t="s">
        <v>77</v>
      </c>
      <c r="D341" s="14" t="s">
        <v>582</v>
      </c>
      <c r="E341" s="14"/>
      <c r="F341" s="15" t="e">
        <f>#REF!</f>
        <v>#REF!</v>
      </c>
      <c r="G341" s="15">
        <f>G342+G343</f>
        <v>450</v>
      </c>
      <c r="H341" s="41"/>
    </row>
    <row r="342" spans="1:8" ht="32.25" customHeight="1">
      <c r="A342" s="73" t="s">
        <v>311</v>
      </c>
      <c r="B342" s="171" t="s">
        <v>72</v>
      </c>
      <c r="C342" s="171" t="s">
        <v>77</v>
      </c>
      <c r="D342" s="130" t="s">
        <v>582</v>
      </c>
      <c r="E342" s="130" t="s">
        <v>312</v>
      </c>
      <c r="F342" s="15"/>
      <c r="G342" s="175">
        <v>205</v>
      </c>
      <c r="H342" s="41"/>
    </row>
    <row r="343" spans="1:8" ht="15">
      <c r="A343" s="30" t="s">
        <v>314</v>
      </c>
      <c r="B343" s="39" t="s">
        <v>72</v>
      </c>
      <c r="C343" s="39" t="s">
        <v>77</v>
      </c>
      <c r="D343" s="31" t="s">
        <v>582</v>
      </c>
      <c r="E343" s="31" t="s">
        <v>313</v>
      </c>
      <c r="F343" s="32"/>
      <c r="G343" s="32">
        <v>245</v>
      </c>
      <c r="H343" s="41"/>
    </row>
    <row r="344" spans="1:8" ht="46.5">
      <c r="A344" s="69" t="s">
        <v>597</v>
      </c>
      <c r="B344" s="157" t="s">
        <v>72</v>
      </c>
      <c r="C344" s="13" t="s">
        <v>77</v>
      </c>
      <c r="D344" s="14" t="s">
        <v>596</v>
      </c>
      <c r="E344" s="43"/>
      <c r="F344" s="41"/>
      <c r="G344" s="72">
        <f>G345+G346+G347</f>
        <v>1814.2</v>
      </c>
      <c r="H344" s="41"/>
    </row>
    <row r="345" spans="1:8" ht="15">
      <c r="A345" s="84" t="s">
        <v>553</v>
      </c>
      <c r="B345" s="85" t="s">
        <v>72</v>
      </c>
      <c r="C345" s="85" t="s">
        <v>77</v>
      </c>
      <c r="D345" s="37" t="s">
        <v>596</v>
      </c>
      <c r="E345" s="37" t="s">
        <v>147</v>
      </c>
      <c r="F345" s="86"/>
      <c r="G345" s="86">
        <f>1500</f>
        <v>1500</v>
      </c>
      <c r="H345" s="41"/>
    </row>
    <row r="346" spans="1:8" ht="27.75" customHeight="1">
      <c r="A346" s="16" t="s">
        <v>311</v>
      </c>
      <c r="B346" s="17" t="s">
        <v>72</v>
      </c>
      <c r="C346" s="17" t="s">
        <v>77</v>
      </c>
      <c r="D346" s="18" t="s">
        <v>596</v>
      </c>
      <c r="E346" s="18" t="s">
        <v>312</v>
      </c>
      <c r="F346" s="19"/>
      <c r="G346" s="19">
        <v>199</v>
      </c>
      <c r="H346" s="41"/>
    </row>
    <row r="347" spans="1:8" ht="27.75" customHeight="1">
      <c r="A347" s="30" t="s">
        <v>314</v>
      </c>
      <c r="B347" s="39" t="s">
        <v>72</v>
      </c>
      <c r="C347" s="39" t="s">
        <v>77</v>
      </c>
      <c r="D347" s="31" t="s">
        <v>596</v>
      </c>
      <c r="E347" s="31" t="s">
        <v>313</v>
      </c>
      <c r="F347" s="32"/>
      <c r="G347" s="32">
        <v>115.2</v>
      </c>
      <c r="H347" s="41"/>
    </row>
    <row r="348" spans="1:8" ht="36.75" customHeight="1">
      <c r="A348" s="44" t="s">
        <v>599</v>
      </c>
      <c r="B348" s="9" t="s">
        <v>72</v>
      </c>
      <c r="C348" s="9" t="s">
        <v>77</v>
      </c>
      <c r="D348" s="10" t="s">
        <v>598</v>
      </c>
      <c r="E348" s="10"/>
      <c r="F348" s="11">
        <f>F352</f>
        <v>3527.5</v>
      </c>
      <c r="G348" s="11">
        <f>G352+G349+G350+G351</f>
        <v>4358.8</v>
      </c>
      <c r="H348" s="41"/>
    </row>
    <row r="349" spans="1:8" ht="18" customHeight="1">
      <c r="A349" s="20" t="s">
        <v>553</v>
      </c>
      <c r="B349" s="171" t="s">
        <v>72</v>
      </c>
      <c r="C349" s="171" t="s">
        <v>77</v>
      </c>
      <c r="D349" s="130" t="s">
        <v>598</v>
      </c>
      <c r="E349" s="130" t="s">
        <v>147</v>
      </c>
      <c r="F349" s="15"/>
      <c r="G349" s="175">
        <v>1616.2</v>
      </c>
      <c r="H349" s="41"/>
    </row>
    <row r="350" spans="1:8" ht="36.75" customHeight="1">
      <c r="A350" s="16" t="s">
        <v>311</v>
      </c>
      <c r="B350" s="17" t="s">
        <v>72</v>
      </c>
      <c r="C350" s="17" t="s">
        <v>77</v>
      </c>
      <c r="D350" s="18" t="s">
        <v>598</v>
      </c>
      <c r="E350" s="18" t="s">
        <v>312</v>
      </c>
      <c r="F350" s="19">
        <f>2300-577.2</f>
        <v>1722.8</v>
      </c>
      <c r="G350" s="19">
        <v>764.5</v>
      </c>
      <c r="H350" s="41"/>
    </row>
    <row r="351" spans="1:8" ht="18.75" customHeight="1">
      <c r="A351" s="16" t="s">
        <v>132</v>
      </c>
      <c r="B351" s="18" t="s">
        <v>72</v>
      </c>
      <c r="C351" s="17" t="s">
        <v>77</v>
      </c>
      <c r="D351" s="18" t="s">
        <v>598</v>
      </c>
      <c r="E351" s="18" t="s">
        <v>131</v>
      </c>
      <c r="F351" s="19"/>
      <c r="G351" s="19">
        <v>709</v>
      </c>
      <c r="H351" s="41"/>
    </row>
    <row r="352" spans="1:8" ht="17.25" customHeight="1">
      <c r="A352" s="24" t="s">
        <v>314</v>
      </c>
      <c r="B352" s="22" t="s">
        <v>72</v>
      </c>
      <c r="C352" s="21" t="s">
        <v>77</v>
      </c>
      <c r="D352" s="22" t="s">
        <v>598</v>
      </c>
      <c r="E352" s="22" t="s">
        <v>313</v>
      </c>
      <c r="F352" s="23">
        <f>4100-572.5</f>
        <v>3527.5</v>
      </c>
      <c r="G352" s="23">
        <v>1269.1</v>
      </c>
      <c r="H352" s="41"/>
    </row>
    <row r="353" spans="1:8" ht="15">
      <c r="A353" s="8" t="s">
        <v>84</v>
      </c>
      <c r="B353" s="9" t="s">
        <v>72</v>
      </c>
      <c r="C353" s="9" t="s">
        <v>83</v>
      </c>
      <c r="D353" s="10" t="s">
        <v>43</v>
      </c>
      <c r="E353" s="10" t="s">
        <v>43</v>
      </c>
      <c r="F353" s="11">
        <f>F354</f>
        <v>1094.6</v>
      </c>
      <c r="G353" s="11">
        <f>G354+G360+G357</f>
        <v>1041.5</v>
      </c>
      <c r="H353" s="11" t="e">
        <f>#REF!-F353</f>
        <v>#REF!</v>
      </c>
    </row>
    <row r="354" spans="1:8" ht="15">
      <c r="A354" s="8" t="s">
        <v>85</v>
      </c>
      <c r="B354" s="9" t="s">
        <v>72</v>
      </c>
      <c r="C354" s="9" t="s">
        <v>83</v>
      </c>
      <c r="D354" s="10" t="s">
        <v>184</v>
      </c>
      <c r="E354" s="10" t="s">
        <v>43</v>
      </c>
      <c r="F354" s="11">
        <f>F356</f>
        <v>1094.6</v>
      </c>
      <c r="G354" s="11">
        <f>G356</f>
        <v>291.5</v>
      </c>
      <c r="H354" s="11" t="e">
        <f>#REF!-F354</f>
        <v>#REF!</v>
      </c>
    </row>
    <row r="355" spans="1:8" ht="15">
      <c r="A355" s="69" t="s">
        <v>114</v>
      </c>
      <c r="B355" s="70" t="s">
        <v>72</v>
      </c>
      <c r="C355" s="70" t="s">
        <v>83</v>
      </c>
      <c r="D355" s="71" t="s">
        <v>185</v>
      </c>
      <c r="E355" s="71"/>
      <c r="F355" s="72">
        <f>F356</f>
        <v>1094.6</v>
      </c>
      <c r="G355" s="72">
        <f>G356</f>
        <v>291.5</v>
      </c>
      <c r="H355" s="72" t="e">
        <f>#REF!-F355</f>
        <v>#REF!</v>
      </c>
    </row>
    <row r="356" spans="1:8" ht="15" customHeight="1">
      <c r="A356" s="30" t="s">
        <v>132</v>
      </c>
      <c r="B356" s="31" t="s">
        <v>72</v>
      </c>
      <c r="C356" s="39" t="s">
        <v>83</v>
      </c>
      <c r="D356" s="31" t="s">
        <v>185</v>
      </c>
      <c r="E356" s="31" t="s">
        <v>131</v>
      </c>
      <c r="F356" s="32">
        <f>1079.6+15</f>
        <v>1094.6</v>
      </c>
      <c r="G356" s="32">
        <f>222.5+99-30</f>
        <v>291.5</v>
      </c>
      <c r="H356" s="27" t="e">
        <f>#REF!-F356</f>
        <v>#REF!</v>
      </c>
    </row>
    <row r="357" spans="1:8" ht="15" customHeight="1">
      <c r="A357" s="185" t="s">
        <v>247</v>
      </c>
      <c r="B357" s="173" t="s">
        <v>72</v>
      </c>
      <c r="C357" s="173" t="s">
        <v>83</v>
      </c>
      <c r="D357" s="108" t="s">
        <v>248</v>
      </c>
      <c r="E357" s="40"/>
      <c r="F357" s="63"/>
      <c r="G357" s="48">
        <f>G358</f>
        <v>90</v>
      </c>
      <c r="H357" s="41"/>
    </row>
    <row r="358" spans="1:8" ht="48" customHeight="1">
      <c r="A358" s="185" t="s">
        <v>465</v>
      </c>
      <c r="B358" s="173" t="s">
        <v>72</v>
      </c>
      <c r="C358" s="173" t="s">
        <v>83</v>
      </c>
      <c r="D358" s="108" t="s">
        <v>466</v>
      </c>
      <c r="E358" s="40"/>
      <c r="F358" s="63"/>
      <c r="G358" s="48">
        <f>G359</f>
        <v>90</v>
      </c>
      <c r="H358" s="41"/>
    </row>
    <row r="359" spans="1:8" ht="15" customHeight="1">
      <c r="A359" s="184" t="s">
        <v>320</v>
      </c>
      <c r="B359" s="165" t="s">
        <v>72</v>
      </c>
      <c r="C359" s="165" t="s">
        <v>83</v>
      </c>
      <c r="D359" s="40" t="s">
        <v>466</v>
      </c>
      <c r="E359" s="40" t="s">
        <v>317</v>
      </c>
      <c r="F359" s="63"/>
      <c r="G359" s="183">
        <f>40+50</f>
        <v>90</v>
      </c>
      <c r="H359" s="41"/>
    </row>
    <row r="360" spans="1:8" ht="15" customHeight="1">
      <c r="A360" s="117" t="s">
        <v>113</v>
      </c>
      <c r="B360" s="120" t="s">
        <v>72</v>
      </c>
      <c r="C360" s="121" t="s">
        <v>83</v>
      </c>
      <c r="D360" s="80" t="s">
        <v>157</v>
      </c>
      <c r="E360" s="122"/>
      <c r="F360" s="122"/>
      <c r="G360" s="92">
        <f>G361</f>
        <v>660</v>
      </c>
      <c r="H360" s="41"/>
    </row>
    <row r="361" spans="1:8" ht="15" customHeight="1">
      <c r="A361" s="118" t="s">
        <v>560</v>
      </c>
      <c r="B361" s="34" t="s">
        <v>72</v>
      </c>
      <c r="C361" s="94" t="s">
        <v>83</v>
      </c>
      <c r="D361" s="94" t="s">
        <v>558</v>
      </c>
      <c r="E361" s="91"/>
      <c r="F361" s="91"/>
      <c r="G361" s="92">
        <f>G363+G362</f>
        <v>660</v>
      </c>
      <c r="H361" s="41"/>
    </row>
    <row r="362" spans="1:8" ht="30.75" customHeight="1">
      <c r="A362" s="236" t="s">
        <v>311</v>
      </c>
      <c r="B362" s="17" t="s">
        <v>72</v>
      </c>
      <c r="C362" s="18" t="s">
        <v>83</v>
      </c>
      <c r="D362" s="18" t="s">
        <v>558</v>
      </c>
      <c r="E362" s="93" t="s">
        <v>312</v>
      </c>
      <c r="F362" s="93"/>
      <c r="G362" s="237">
        <v>50</v>
      </c>
      <c r="H362" s="41"/>
    </row>
    <row r="363" spans="1:8" ht="15" customHeight="1">
      <c r="A363" s="119" t="s">
        <v>251</v>
      </c>
      <c r="B363" s="123" t="s">
        <v>72</v>
      </c>
      <c r="C363" s="122" t="s">
        <v>83</v>
      </c>
      <c r="D363" s="122" t="s">
        <v>558</v>
      </c>
      <c r="E363" s="122" t="s">
        <v>131</v>
      </c>
      <c r="F363" s="122"/>
      <c r="G363" s="124">
        <f>660-50</f>
        <v>610</v>
      </c>
      <c r="H363" s="41"/>
    </row>
    <row r="364" spans="1:8" ht="15">
      <c r="A364" s="8" t="s">
        <v>87</v>
      </c>
      <c r="B364" s="9" t="s">
        <v>72</v>
      </c>
      <c r="C364" s="9" t="s">
        <v>86</v>
      </c>
      <c r="D364" s="10" t="s">
        <v>43</v>
      </c>
      <c r="E364" s="10" t="s">
        <v>43</v>
      </c>
      <c r="F364" s="11" t="e">
        <f>F365+F369+#REF!+F390+#REF!</f>
        <v>#REF!</v>
      </c>
      <c r="G364" s="11">
        <f>G365+G369+G390+G382+G376+G372</f>
        <v>23086</v>
      </c>
      <c r="H364" s="11" t="e">
        <f>#REF!-F364</f>
        <v>#REF!</v>
      </c>
    </row>
    <row r="365" spans="1:8" ht="46.5">
      <c r="A365" s="12" t="s">
        <v>128</v>
      </c>
      <c r="B365" s="13" t="s">
        <v>72</v>
      </c>
      <c r="C365" s="13" t="s">
        <v>86</v>
      </c>
      <c r="D365" s="14" t="s">
        <v>129</v>
      </c>
      <c r="E365" s="14" t="s">
        <v>43</v>
      </c>
      <c r="F365" s="15">
        <f>F366</f>
        <v>4718.6</v>
      </c>
      <c r="G365" s="15">
        <f>G366</f>
        <v>5431.3</v>
      </c>
      <c r="H365" s="15" t="e">
        <f>#REF!-F365</f>
        <v>#REF!</v>
      </c>
    </row>
    <row r="366" spans="1:8" ht="15">
      <c r="A366" s="51" t="s">
        <v>48</v>
      </c>
      <c r="B366" s="45" t="s">
        <v>72</v>
      </c>
      <c r="C366" s="45" t="s">
        <v>86</v>
      </c>
      <c r="D366" s="46" t="s">
        <v>133</v>
      </c>
      <c r="E366" s="46"/>
      <c r="F366" s="48">
        <f>SUM(F367:F368)</f>
        <v>4718.6</v>
      </c>
      <c r="G366" s="48">
        <f>G367+G368</f>
        <v>5431.3</v>
      </c>
      <c r="H366" s="11" t="e">
        <f>#REF!-F366</f>
        <v>#REF!</v>
      </c>
    </row>
    <row r="367" spans="1:8" ht="15">
      <c r="A367" s="20" t="s">
        <v>132</v>
      </c>
      <c r="B367" s="21" t="s">
        <v>72</v>
      </c>
      <c r="C367" s="21" t="s">
        <v>86</v>
      </c>
      <c r="D367" s="22" t="s">
        <v>133</v>
      </c>
      <c r="E367" s="22" t="s">
        <v>131</v>
      </c>
      <c r="F367" s="23">
        <f>844.4+12.7</f>
        <v>857.1</v>
      </c>
      <c r="G367" s="23">
        <f>948.1+0.5</f>
        <v>948.6</v>
      </c>
      <c r="H367" s="19" t="e">
        <f>#REF!-F367</f>
        <v>#REF!</v>
      </c>
    </row>
    <row r="368" spans="1:8" ht="15">
      <c r="A368" s="16" t="s">
        <v>251</v>
      </c>
      <c r="B368" s="17" t="s">
        <v>72</v>
      </c>
      <c r="C368" s="17" t="s">
        <v>86</v>
      </c>
      <c r="D368" s="18" t="s">
        <v>250</v>
      </c>
      <c r="E368" s="18" t="s">
        <v>131</v>
      </c>
      <c r="F368" s="19">
        <f>3894.2-32.7</f>
        <v>3861.5</v>
      </c>
      <c r="G368" s="19">
        <f>4483.2-0.5</f>
        <v>4482.7</v>
      </c>
      <c r="H368" s="19" t="e">
        <f>#REF!-F368</f>
        <v>#REF!</v>
      </c>
    </row>
    <row r="369" spans="1:8" ht="28.5" customHeight="1">
      <c r="A369" s="12" t="s">
        <v>88</v>
      </c>
      <c r="B369" s="13" t="s">
        <v>72</v>
      </c>
      <c r="C369" s="13" t="s">
        <v>86</v>
      </c>
      <c r="D369" s="14" t="s">
        <v>186</v>
      </c>
      <c r="E369" s="14" t="s">
        <v>43</v>
      </c>
      <c r="F369" s="15">
        <f>F370</f>
        <v>2199</v>
      </c>
      <c r="G369" s="15">
        <f>G370</f>
        <v>2741.4</v>
      </c>
      <c r="H369" s="15" t="e">
        <f>#REF!-F369</f>
        <v>#REF!</v>
      </c>
    </row>
    <row r="370" spans="1:8" ht="39.75" customHeight="1">
      <c r="A370" s="8" t="s">
        <v>221</v>
      </c>
      <c r="B370" s="9" t="s">
        <v>72</v>
      </c>
      <c r="C370" s="9" t="s">
        <v>86</v>
      </c>
      <c r="D370" s="10" t="s">
        <v>187</v>
      </c>
      <c r="E370" s="10"/>
      <c r="F370" s="11">
        <f>F371</f>
        <v>2199</v>
      </c>
      <c r="G370" s="11">
        <f>G371</f>
        <v>2741.4</v>
      </c>
      <c r="H370" s="11" t="e">
        <f>#REF!-F370</f>
        <v>#REF!</v>
      </c>
    </row>
    <row r="371" spans="1:8" ht="15">
      <c r="A371" s="30" t="s">
        <v>553</v>
      </c>
      <c r="B371" s="39" t="s">
        <v>72</v>
      </c>
      <c r="C371" s="39" t="s">
        <v>86</v>
      </c>
      <c r="D371" s="31" t="s">
        <v>187</v>
      </c>
      <c r="E371" s="31" t="s">
        <v>147</v>
      </c>
      <c r="F371" s="32">
        <f>2197.5+1.5</f>
        <v>2199</v>
      </c>
      <c r="G371" s="32">
        <v>2741.4</v>
      </c>
      <c r="H371" s="19" t="e">
        <f>#REF!-F371</f>
        <v>#REF!</v>
      </c>
    </row>
    <row r="372" spans="1:8" ht="15">
      <c r="A372" s="190" t="s">
        <v>111</v>
      </c>
      <c r="B372" s="46" t="s">
        <v>72</v>
      </c>
      <c r="C372" s="198" t="s">
        <v>86</v>
      </c>
      <c r="D372" s="46" t="s">
        <v>179</v>
      </c>
      <c r="E372" s="47"/>
      <c r="F372" s="76"/>
      <c r="G372" s="48">
        <f>G373</f>
        <v>19.8</v>
      </c>
      <c r="H372" s="23"/>
    </row>
    <row r="373" spans="1:8" ht="30.75">
      <c r="A373" s="206" t="s">
        <v>416</v>
      </c>
      <c r="B373" s="66" t="s">
        <v>72</v>
      </c>
      <c r="C373" s="45" t="s">
        <v>86</v>
      </c>
      <c r="D373" s="46" t="s">
        <v>417</v>
      </c>
      <c r="E373" s="47"/>
      <c r="F373" s="76"/>
      <c r="G373" s="48">
        <f>G374</f>
        <v>19.8</v>
      </c>
      <c r="H373" s="23"/>
    </row>
    <row r="374" spans="1:8" ht="46.5">
      <c r="A374" s="260" t="s">
        <v>430</v>
      </c>
      <c r="B374" s="157" t="s">
        <v>72</v>
      </c>
      <c r="C374" s="13" t="s">
        <v>86</v>
      </c>
      <c r="D374" s="14" t="s">
        <v>418</v>
      </c>
      <c r="E374" s="43"/>
      <c r="F374" s="41"/>
      <c r="G374" s="72">
        <f>G375</f>
        <v>19.8</v>
      </c>
      <c r="H374" s="23"/>
    </row>
    <row r="375" spans="1:8" ht="15">
      <c r="A375" s="256" t="s">
        <v>553</v>
      </c>
      <c r="B375" s="31" t="s">
        <v>72</v>
      </c>
      <c r="C375" s="39" t="s">
        <v>86</v>
      </c>
      <c r="D375" s="31" t="s">
        <v>418</v>
      </c>
      <c r="E375" s="31" t="s">
        <v>147</v>
      </c>
      <c r="F375" s="32"/>
      <c r="G375" s="32">
        <v>19.8</v>
      </c>
      <c r="H375" s="23"/>
    </row>
    <row r="376" spans="1:8" ht="15">
      <c r="A376" s="190" t="s">
        <v>18</v>
      </c>
      <c r="B376" s="46" t="s">
        <v>72</v>
      </c>
      <c r="C376" s="198" t="s">
        <v>86</v>
      </c>
      <c r="D376" s="46" t="s">
        <v>17</v>
      </c>
      <c r="E376" s="47"/>
      <c r="F376" s="76"/>
      <c r="G376" s="48">
        <f>G377</f>
        <v>609.6</v>
      </c>
      <c r="H376" s="23"/>
    </row>
    <row r="377" spans="1:8" ht="78">
      <c r="A377" s="207" t="s">
        <v>422</v>
      </c>
      <c r="B377" s="66" t="s">
        <v>72</v>
      </c>
      <c r="C377" s="45" t="s">
        <v>86</v>
      </c>
      <c r="D377" s="46" t="s">
        <v>404</v>
      </c>
      <c r="E377" s="47"/>
      <c r="F377" s="76">
        <v>4110.88</v>
      </c>
      <c r="G377" s="48">
        <f>G380+G378</f>
        <v>609.6</v>
      </c>
      <c r="H377" s="23"/>
    </row>
    <row r="378" spans="1:8" ht="30.75">
      <c r="A378" s="266" t="s">
        <v>238</v>
      </c>
      <c r="B378" s="157" t="s">
        <v>72</v>
      </c>
      <c r="C378" s="13" t="s">
        <v>86</v>
      </c>
      <c r="D378" s="267" t="s">
        <v>502</v>
      </c>
      <c r="E378" s="268"/>
      <c r="F378" s="269"/>
      <c r="G378" s="270">
        <f>G379</f>
        <v>157.6</v>
      </c>
      <c r="H378" s="23"/>
    </row>
    <row r="379" spans="1:8" ht="15">
      <c r="A379" s="217" t="s">
        <v>251</v>
      </c>
      <c r="B379" s="31" t="s">
        <v>72</v>
      </c>
      <c r="C379" s="39" t="s">
        <v>86</v>
      </c>
      <c r="D379" s="31" t="s">
        <v>502</v>
      </c>
      <c r="E379" s="31" t="s">
        <v>131</v>
      </c>
      <c r="F379" s="32">
        <f>3894.2-32.7</f>
        <v>3861.5</v>
      </c>
      <c r="G379" s="32">
        <v>157.6</v>
      </c>
      <c r="H379" s="23"/>
    </row>
    <row r="380" spans="1:8" ht="62.25">
      <c r="A380" s="266" t="s">
        <v>472</v>
      </c>
      <c r="B380" s="157" t="s">
        <v>72</v>
      </c>
      <c r="C380" s="13" t="s">
        <v>86</v>
      </c>
      <c r="D380" s="267" t="s">
        <v>467</v>
      </c>
      <c r="E380" s="268"/>
      <c r="F380" s="269"/>
      <c r="G380" s="270">
        <f>G381</f>
        <v>452</v>
      </c>
      <c r="H380" s="23"/>
    </row>
    <row r="381" spans="1:8" ht="15">
      <c r="A381" s="217" t="s">
        <v>251</v>
      </c>
      <c r="B381" s="31" t="s">
        <v>72</v>
      </c>
      <c r="C381" s="39" t="s">
        <v>86</v>
      </c>
      <c r="D381" s="31" t="s">
        <v>467</v>
      </c>
      <c r="E381" s="31" t="s">
        <v>131</v>
      </c>
      <c r="F381" s="32">
        <f>3894.2-32.7</f>
        <v>3861.5</v>
      </c>
      <c r="G381" s="32">
        <f>452</f>
        <v>452</v>
      </c>
      <c r="H381" s="23"/>
    </row>
    <row r="382" spans="1:8" ht="15">
      <c r="A382" s="218" t="s">
        <v>247</v>
      </c>
      <c r="B382" s="157" t="s">
        <v>72</v>
      </c>
      <c r="C382" s="13" t="s">
        <v>86</v>
      </c>
      <c r="D382" s="14" t="s">
        <v>248</v>
      </c>
      <c r="E382" s="14"/>
      <c r="F382" s="15"/>
      <c r="G382" s="15">
        <f>G383+G387+G385</f>
        <v>770</v>
      </c>
      <c r="H382" s="23"/>
    </row>
    <row r="383" spans="1:8" ht="30.75">
      <c r="A383" s="215" t="s">
        <v>319</v>
      </c>
      <c r="B383" s="54" t="s">
        <v>72</v>
      </c>
      <c r="C383" s="9" t="s">
        <v>86</v>
      </c>
      <c r="D383" s="10" t="s">
        <v>318</v>
      </c>
      <c r="E383" s="10"/>
      <c r="F383" s="11"/>
      <c r="G383" s="11">
        <f>G384</f>
        <v>1.1546319456101628E-14</v>
      </c>
      <c r="H383" s="23"/>
    </row>
    <row r="384" spans="1:8" ht="15">
      <c r="A384" s="16" t="s">
        <v>320</v>
      </c>
      <c r="B384" s="17" t="s">
        <v>72</v>
      </c>
      <c r="C384" s="17" t="s">
        <v>86</v>
      </c>
      <c r="D384" s="18" t="s">
        <v>318</v>
      </c>
      <c r="E384" s="18" t="s">
        <v>317</v>
      </c>
      <c r="F384" s="19"/>
      <c r="G384" s="19">
        <f>408.6-404.8-3.8</f>
        <v>1.1546319456101628E-14</v>
      </c>
      <c r="H384" s="23"/>
    </row>
    <row r="385" spans="1:8" ht="30.75">
      <c r="A385" s="8" t="s">
        <v>327</v>
      </c>
      <c r="B385" s="9" t="s">
        <v>72</v>
      </c>
      <c r="C385" s="9" t="s">
        <v>86</v>
      </c>
      <c r="D385" s="10" t="s">
        <v>326</v>
      </c>
      <c r="E385" s="10"/>
      <c r="F385" s="11"/>
      <c r="G385" s="11">
        <f>G386</f>
        <v>520</v>
      </c>
      <c r="H385" s="23"/>
    </row>
    <row r="386" spans="1:8" ht="15">
      <c r="A386" s="16" t="s">
        <v>320</v>
      </c>
      <c r="B386" s="17" t="s">
        <v>72</v>
      </c>
      <c r="C386" s="17" t="s">
        <v>86</v>
      </c>
      <c r="D386" s="18" t="s">
        <v>326</v>
      </c>
      <c r="E386" s="18" t="s">
        <v>317</v>
      </c>
      <c r="F386" s="19"/>
      <c r="G386" s="19">
        <v>520</v>
      </c>
      <c r="H386" s="23"/>
    </row>
    <row r="387" spans="1:8" ht="30.75">
      <c r="A387" s="12" t="s">
        <v>324</v>
      </c>
      <c r="B387" s="13" t="s">
        <v>72</v>
      </c>
      <c r="C387" s="13" t="s">
        <v>86</v>
      </c>
      <c r="D387" s="14" t="s">
        <v>325</v>
      </c>
      <c r="E387" s="14"/>
      <c r="F387" s="15"/>
      <c r="G387" s="15">
        <f>G389+G388</f>
        <v>250</v>
      </c>
      <c r="H387" s="23"/>
    </row>
    <row r="388" spans="1:8" ht="30">
      <c r="A388" s="84" t="s">
        <v>311</v>
      </c>
      <c r="B388" s="85" t="s">
        <v>72</v>
      </c>
      <c r="C388" s="85" t="s">
        <v>86</v>
      </c>
      <c r="D388" s="37" t="s">
        <v>325</v>
      </c>
      <c r="E388" s="37" t="s">
        <v>312</v>
      </c>
      <c r="F388" s="86"/>
      <c r="G388" s="86">
        <v>198</v>
      </c>
      <c r="H388" s="23"/>
    </row>
    <row r="389" spans="1:8" ht="15">
      <c r="A389" s="30" t="s">
        <v>320</v>
      </c>
      <c r="B389" s="39" t="s">
        <v>72</v>
      </c>
      <c r="C389" s="39" t="s">
        <v>86</v>
      </c>
      <c r="D389" s="31" t="s">
        <v>325</v>
      </c>
      <c r="E389" s="31" t="s">
        <v>317</v>
      </c>
      <c r="F389" s="32"/>
      <c r="G389" s="32">
        <v>52</v>
      </c>
      <c r="H389" s="23"/>
    </row>
    <row r="390" spans="1:8" ht="15">
      <c r="A390" s="8" t="s">
        <v>113</v>
      </c>
      <c r="B390" s="9" t="s">
        <v>72</v>
      </c>
      <c r="C390" s="9" t="s">
        <v>86</v>
      </c>
      <c r="D390" s="10" t="s">
        <v>157</v>
      </c>
      <c r="E390" s="10" t="s">
        <v>43</v>
      </c>
      <c r="F390" s="11" t="e">
        <f>F391+#REF!+F398</f>
        <v>#REF!</v>
      </c>
      <c r="G390" s="11">
        <f>G391+G398+G396+G400</f>
        <v>13513.900000000001</v>
      </c>
      <c r="H390" s="11" t="e">
        <f>#REF!-F390</f>
        <v>#REF!</v>
      </c>
    </row>
    <row r="391" spans="1:8" ht="30.75">
      <c r="A391" s="12" t="s">
        <v>24</v>
      </c>
      <c r="B391" s="13" t="s">
        <v>72</v>
      </c>
      <c r="C391" s="13" t="s">
        <v>86</v>
      </c>
      <c r="D391" s="14" t="s">
        <v>188</v>
      </c>
      <c r="E391" s="14" t="s">
        <v>43</v>
      </c>
      <c r="F391" s="15" t="e">
        <f>F392+F394</f>
        <v>#REF!</v>
      </c>
      <c r="G391" s="15">
        <f>G392+G394</f>
        <v>10432.900000000001</v>
      </c>
      <c r="H391" s="11" t="e">
        <f>#REF!-F391</f>
        <v>#REF!</v>
      </c>
    </row>
    <row r="392" spans="1:8" ht="30.75">
      <c r="A392" s="8" t="s">
        <v>25</v>
      </c>
      <c r="B392" s="9" t="s">
        <v>72</v>
      </c>
      <c r="C392" s="9" t="s">
        <v>86</v>
      </c>
      <c r="D392" s="10" t="s">
        <v>277</v>
      </c>
      <c r="E392" s="10"/>
      <c r="F392" s="11" t="e">
        <f>#REF!+F393</f>
        <v>#REF!</v>
      </c>
      <c r="G392" s="11">
        <f>G393</f>
        <v>4132.6</v>
      </c>
      <c r="H392" s="7"/>
    </row>
    <row r="393" spans="1:8" ht="15">
      <c r="A393" s="16" t="s">
        <v>132</v>
      </c>
      <c r="B393" s="17" t="s">
        <v>72</v>
      </c>
      <c r="C393" s="17" t="s">
        <v>86</v>
      </c>
      <c r="D393" s="18" t="s">
        <v>277</v>
      </c>
      <c r="E393" s="18" t="s">
        <v>131</v>
      </c>
      <c r="F393" s="19">
        <f>6415-1223.7+1223.7-1223.7-163.3</f>
        <v>5028</v>
      </c>
      <c r="G393" s="19">
        <v>4132.6</v>
      </c>
      <c r="H393" s="19" t="e">
        <f>#REF!-F393</f>
        <v>#REF!</v>
      </c>
    </row>
    <row r="394" spans="1:8" ht="15">
      <c r="A394" s="8" t="s">
        <v>546</v>
      </c>
      <c r="B394" s="9" t="s">
        <v>72</v>
      </c>
      <c r="C394" s="9" t="s">
        <v>86</v>
      </c>
      <c r="D394" s="10" t="s">
        <v>278</v>
      </c>
      <c r="E394" s="10" t="s">
        <v>43</v>
      </c>
      <c r="F394" s="11">
        <f>F395</f>
        <v>6287</v>
      </c>
      <c r="G394" s="11">
        <f>G395</f>
        <v>6300.3</v>
      </c>
      <c r="H394" s="11" t="e">
        <f>#REF!-F394</f>
        <v>#REF!</v>
      </c>
    </row>
    <row r="395" spans="1:8" ht="15">
      <c r="A395" s="24" t="s">
        <v>132</v>
      </c>
      <c r="B395" s="25" t="s">
        <v>72</v>
      </c>
      <c r="C395" s="25" t="s">
        <v>86</v>
      </c>
      <c r="D395" s="26" t="s">
        <v>278</v>
      </c>
      <c r="E395" s="26" t="s">
        <v>131</v>
      </c>
      <c r="F395" s="27">
        <f>4900+1223.7+163.3</f>
        <v>6287</v>
      </c>
      <c r="G395" s="27">
        <f>6494.8-194.5</f>
        <v>6300.3</v>
      </c>
      <c r="H395" s="19" t="e">
        <f>#REF!-F395</f>
        <v>#REF!</v>
      </c>
    </row>
    <row r="396" spans="1:8" ht="33.75" customHeight="1">
      <c r="A396" s="36" t="s">
        <v>584</v>
      </c>
      <c r="B396" s="9" t="s">
        <v>72</v>
      </c>
      <c r="C396" s="9" t="s">
        <v>86</v>
      </c>
      <c r="D396" s="10" t="s">
        <v>585</v>
      </c>
      <c r="E396" s="10" t="s">
        <v>43</v>
      </c>
      <c r="F396" s="11">
        <f>F397</f>
        <v>7534</v>
      </c>
      <c r="G396" s="11">
        <f>G397</f>
        <v>370</v>
      </c>
      <c r="H396" s="23"/>
    </row>
    <row r="397" spans="1:8" ht="15">
      <c r="A397" s="16" t="s">
        <v>132</v>
      </c>
      <c r="B397" s="17" t="s">
        <v>72</v>
      </c>
      <c r="C397" s="17" t="s">
        <v>86</v>
      </c>
      <c r="D397" s="18" t="s">
        <v>585</v>
      </c>
      <c r="E397" s="18" t="s">
        <v>131</v>
      </c>
      <c r="F397" s="19">
        <f>8034-500</f>
        <v>7534</v>
      </c>
      <c r="G397" s="19">
        <v>370</v>
      </c>
      <c r="H397" s="23"/>
    </row>
    <row r="398" spans="1:8" ht="46.5">
      <c r="A398" s="8" t="s">
        <v>597</v>
      </c>
      <c r="B398" s="9" t="s">
        <v>72</v>
      </c>
      <c r="C398" s="9" t="s">
        <v>86</v>
      </c>
      <c r="D398" s="10" t="s">
        <v>596</v>
      </c>
      <c r="E398" s="10" t="s">
        <v>43</v>
      </c>
      <c r="F398" s="11">
        <f>F399</f>
        <v>7534</v>
      </c>
      <c r="G398" s="11">
        <f>G399</f>
        <v>2619.8</v>
      </c>
      <c r="H398" s="23"/>
    </row>
    <row r="399" spans="1:8" ht="15">
      <c r="A399" s="16" t="s">
        <v>132</v>
      </c>
      <c r="B399" s="17" t="s">
        <v>72</v>
      </c>
      <c r="C399" s="17" t="s">
        <v>86</v>
      </c>
      <c r="D399" s="18" t="s">
        <v>596</v>
      </c>
      <c r="E399" s="18" t="s">
        <v>131</v>
      </c>
      <c r="F399" s="19">
        <f>8034-500</f>
        <v>7534</v>
      </c>
      <c r="G399" s="19">
        <f>2636.5-16.7</f>
        <v>2619.8</v>
      </c>
      <c r="H399" s="23"/>
    </row>
    <row r="400" spans="1:8" ht="30.75">
      <c r="A400" s="65" t="s">
        <v>599</v>
      </c>
      <c r="B400" s="13" t="s">
        <v>72</v>
      </c>
      <c r="C400" s="13" t="s">
        <v>86</v>
      </c>
      <c r="D400" s="14" t="s">
        <v>598</v>
      </c>
      <c r="E400" s="14"/>
      <c r="F400" s="15">
        <f>F408</f>
        <v>10162.6</v>
      </c>
      <c r="G400" s="15">
        <f>G401+G402</f>
        <v>91.2</v>
      </c>
      <c r="H400" s="23"/>
    </row>
    <row r="401" spans="1:8" ht="15">
      <c r="A401" s="84" t="s">
        <v>553</v>
      </c>
      <c r="B401" s="85" t="s">
        <v>72</v>
      </c>
      <c r="C401" s="85" t="s">
        <v>86</v>
      </c>
      <c r="D401" s="37" t="s">
        <v>598</v>
      </c>
      <c r="E401" s="37" t="s">
        <v>147</v>
      </c>
      <c r="F401" s="86"/>
      <c r="G401" s="86">
        <v>49.5</v>
      </c>
      <c r="H401" s="23"/>
    </row>
    <row r="402" spans="1:8" ht="15">
      <c r="A402" s="30" t="s">
        <v>132</v>
      </c>
      <c r="B402" s="39" t="s">
        <v>72</v>
      </c>
      <c r="C402" s="39" t="s">
        <v>86</v>
      </c>
      <c r="D402" s="31" t="s">
        <v>598</v>
      </c>
      <c r="E402" s="31" t="s">
        <v>131</v>
      </c>
      <c r="F402" s="32"/>
      <c r="G402" s="32">
        <v>41.7</v>
      </c>
      <c r="H402" s="23"/>
    </row>
    <row r="403" spans="1:8" ht="15">
      <c r="A403" s="49" t="s">
        <v>605</v>
      </c>
      <c r="B403" s="50" t="s">
        <v>89</v>
      </c>
      <c r="C403" s="50" t="s">
        <v>89</v>
      </c>
      <c r="D403" s="10" t="s">
        <v>43</v>
      </c>
      <c r="E403" s="10" t="s">
        <v>43</v>
      </c>
      <c r="F403" s="11" t="e">
        <f>F404+#REF!+#REF!+F435</f>
        <v>#REF!</v>
      </c>
      <c r="G403" s="11">
        <f>G404+G435</f>
        <v>30826.1</v>
      </c>
      <c r="H403" s="11" t="e">
        <f>#REF!-F403</f>
        <v>#REF!</v>
      </c>
    </row>
    <row r="404" spans="1:8" ht="15">
      <c r="A404" s="8" t="s">
        <v>91</v>
      </c>
      <c r="B404" s="9" t="s">
        <v>89</v>
      </c>
      <c r="C404" s="9" t="s">
        <v>90</v>
      </c>
      <c r="D404" s="10" t="s">
        <v>43</v>
      </c>
      <c r="E404" s="10" t="s">
        <v>43</v>
      </c>
      <c r="F404" s="11" t="e">
        <f>F408+#REF!+#REF!</f>
        <v>#REF!</v>
      </c>
      <c r="G404" s="11">
        <f>G408+G431+G425+G416+G405+G412</f>
        <v>22250.3</v>
      </c>
      <c r="H404" s="11" t="e">
        <f>#REF!-F404</f>
        <v>#REF!</v>
      </c>
    </row>
    <row r="405" spans="1:8" ht="15">
      <c r="A405" s="8" t="s">
        <v>436</v>
      </c>
      <c r="B405" s="9" t="s">
        <v>89</v>
      </c>
      <c r="C405" s="9" t="s">
        <v>90</v>
      </c>
      <c r="D405" s="10" t="s">
        <v>434</v>
      </c>
      <c r="E405" s="10" t="s">
        <v>43</v>
      </c>
      <c r="F405" s="11">
        <f>F406</f>
        <v>10162.6</v>
      </c>
      <c r="G405" s="11">
        <f>G406</f>
        <v>533.5</v>
      </c>
      <c r="H405" s="11"/>
    </row>
    <row r="406" spans="1:8" ht="30.75">
      <c r="A406" s="8" t="s">
        <v>437</v>
      </c>
      <c r="B406" s="9" t="s">
        <v>89</v>
      </c>
      <c r="C406" s="9" t="s">
        <v>90</v>
      </c>
      <c r="D406" s="10" t="s">
        <v>435</v>
      </c>
      <c r="E406" s="10"/>
      <c r="F406" s="11">
        <f>F407</f>
        <v>10162.6</v>
      </c>
      <c r="G406" s="11">
        <f>G407</f>
        <v>533.5</v>
      </c>
      <c r="H406" s="11"/>
    </row>
    <row r="407" spans="1:8" ht="15">
      <c r="A407" s="16" t="s">
        <v>553</v>
      </c>
      <c r="B407" s="17" t="s">
        <v>89</v>
      </c>
      <c r="C407" s="17" t="s">
        <v>90</v>
      </c>
      <c r="D407" s="18" t="s">
        <v>435</v>
      </c>
      <c r="E407" s="18" t="s">
        <v>147</v>
      </c>
      <c r="F407" s="19">
        <v>10162.6</v>
      </c>
      <c r="G407" s="19">
        <v>533.5</v>
      </c>
      <c r="H407" s="11"/>
    </row>
    <row r="408" spans="1:8" ht="15">
      <c r="A408" s="8" t="s">
        <v>92</v>
      </c>
      <c r="B408" s="9" t="s">
        <v>89</v>
      </c>
      <c r="C408" s="9" t="s">
        <v>90</v>
      </c>
      <c r="D408" s="10" t="s">
        <v>189</v>
      </c>
      <c r="E408" s="10" t="s">
        <v>43</v>
      </c>
      <c r="F408" s="11">
        <f>F409</f>
        <v>10162.6</v>
      </c>
      <c r="G408" s="11">
        <f>G409</f>
        <v>13417</v>
      </c>
      <c r="H408" s="11" t="e">
        <f>#REF!-F408</f>
        <v>#REF!</v>
      </c>
    </row>
    <row r="409" spans="1:8" ht="30.75">
      <c r="A409" s="12" t="s">
        <v>221</v>
      </c>
      <c r="B409" s="13" t="s">
        <v>89</v>
      </c>
      <c r="C409" s="13" t="s">
        <v>90</v>
      </c>
      <c r="D409" s="14" t="s">
        <v>190</v>
      </c>
      <c r="E409" s="14"/>
      <c r="F409" s="15">
        <f>F410</f>
        <v>10162.6</v>
      </c>
      <c r="G409" s="15">
        <f>G410+G411</f>
        <v>13417</v>
      </c>
      <c r="H409" s="11" t="e">
        <f>#REF!-F409</f>
        <v>#REF!</v>
      </c>
    </row>
    <row r="410" spans="1:8" ht="15">
      <c r="A410" s="84" t="s">
        <v>553</v>
      </c>
      <c r="B410" s="85" t="s">
        <v>89</v>
      </c>
      <c r="C410" s="85" t="s">
        <v>90</v>
      </c>
      <c r="D410" s="37" t="s">
        <v>190</v>
      </c>
      <c r="E410" s="37" t="s">
        <v>147</v>
      </c>
      <c r="F410" s="86">
        <v>10162.6</v>
      </c>
      <c r="G410" s="86">
        <v>13190.9</v>
      </c>
      <c r="H410" s="19" t="e">
        <f>#REF!-F410</f>
        <v>#REF!</v>
      </c>
    </row>
    <row r="411" spans="1:8" ht="15">
      <c r="A411" s="30" t="s">
        <v>132</v>
      </c>
      <c r="B411" s="39" t="s">
        <v>89</v>
      </c>
      <c r="C411" s="39" t="s">
        <v>90</v>
      </c>
      <c r="D411" s="31" t="s">
        <v>190</v>
      </c>
      <c r="E411" s="31" t="s">
        <v>131</v>
      </c>
      <c r="F411" s="32"/>
      <c r="G411" s="32">
        <v>226.1</v>
      </c>
      <c r="H411" s="23"/>
    </row>
    <row r="412" spans="1:8" ht="15">
      <c r="A412" s="190" t="s">
        <v>111</v>
      </c>
      <c r="B412" s="46" t="s">
        <v>89</v>
      </c>
      <c r="C412" s="198" t="s">
        <v>90</v>
      </c>
      <c r="D412" s="46" t="s">
        <v>179</v>
      </c>
      <c r="E412" s="47"/>
      <c r="F412" s="76"/>
      <c r="G412" s="48">
        <f>G413</f>
        <v>48</v>
      </c>
      <c r="H412" s="23"/>
    </row>
    <row r="413" spans="1:8" ht="30.75">
      <c r="A413" s="206" t="s">
        <v>416</v>
      </c>
      <c r="B413" s="66" t="s">
        <v>89</v>
      </c>
      <c r="C413" s="45" t="s">
        <v>90</v>
      </c>
      <c r="D413" s="46" t="s">
        <v>417</v>
      </c>
      <c r="E413" s="47"/>
      <c r="F413" s="76"/>
      <c r="G413" s="48">
        <f>G414</f>
        <v>48</v>
      </c>
      <c r="H413" s="23"/>
    </row>
    <row r="414" spans="1:8" ht="46.5">
      <c r="A414" s="260" t="s">
        <v>430</v>
      </c>
      <c r="B414" s="157" t="s">
        <v>89</v>
      </c>
      <c r="C414" s="13" t="s">
        <v>90</v>
      </c>
      <c r="D414" s="14" t="s">
        <v>418</v>
      </c>
      <c r="E414" s="43"/>
      <c r="F414" s="41"/>
      <c r="G414" s="72">
        <f>G415</f>
        <v>48</v>
      </c>
      <c r="H414" s="23"/>
    </row>
    <row r="415" spans="1:8" ht="15">
      <c r="A415" s="256" t="s">
        <v>553</v>
      </c>
      <c r="B415" s="31" t="s">
        <v>89</v>
      </c>
      <c r="C415" s="39" t="s">
        <v>90</v>
      </c>
      <c r="D415" s="31" t="s">
        <v>418</v>
      </c>
      <c r="E415" s="31" t="s">
        <v>147</v>
      </c>
      <c r="F415" s="32"/>
      <c r="G415" s="32">
        <v>48</v>
      </c>
      <c r="H415" s="23"/>
    </row>
    <row r="416" spans="1:8" ht="15">
      <c r="A416" s="51" t="s">
        <v>18</v>
      </c>
      <c r="B416" s="66" t="s">
        <v>89</v>
      </c>
      <c r="C416" s="66" t="s">
        <v>90</v>
      </c>
      <c r="D416" s="66" t="s">
        <v>17</v>
      </c>
      <c r="E416" s="47"/>
      <c r="F416" s="76"/>
      <c r="G416" s="48">
        <f>G420+G417</f>
        <v>6975.7</v>
      </c>
      <c r="H416" s="23"/>
    </row>
    <row r="417" spans="1:8" ht="46.5">
      <c r="A417" s="107" t="s">
        <v>423</v>
      </c>
      <c r="B417" s="78" t="s">
        <v>89</v>
      </c>
      <c r="C417" s="78" t="s">
        <v>90</v>
      </c>
      <c r="D417" s="78" t="s">
        <v>330</v>
      </c>
      <c r="E417" s="40"/>
      <c r="F417" s="239"/>
      <c r="G417" s="240">
        <f>G418</f>
        <v>445.3</v>
      </c>
      <c r="H417" s="23"/>
    </row>
    <row r="418" spans="1:8" ht="30.75">
      <c r="A418" s="69" t="s">
        <v>523</v>
      </c>
      <c r="B418" s="176" t="s">
        <v>89</v>
      </c>
      <c r="C418" s="134" t="s">
        <v>90</v>
      </c>
      <c r="D418" s="54" t="s">
        <v>522</v>
      </c>
      <c r="E418" s="37"/>
      <c r="F418" s="241"/>
      <c r="G418" s="111">
        <f>G419</f>
        <v>445.3</v>
      </c>
      <c r="H418" s="23"/>
    </row>
    <row r="419" spans="1:8" ht="15">
      <c r="A419" s="16" t="s">
        <v>553</v>
      </c>
      <c r="B419" s="17" t="s">
        <v>89</v>
      </c>
      <c r="C419" s="17" t="s">
        <v>90</v>
      </c>
      <c r="D419" s="238" t="s">
        <v>522</v>
      </c>
      <c r="E419" s="31" t="s">
        <v>147</v>
      </c>
      <c r="F419" s="239"/>
      <c r="G419" s="242">
        <v>445.3</v>
      </c>
      <c r="H419" s="23"/>
    </row>
    <row r="420" spans="1:8" ht="15">
      <c r="A420" s="185" t="s">
        <v>16</v>
      </c>
      <c r="B420" s="66" t="s">
        <v>89</v>
      </c>
      <c r="C420" s="66" t="s">
        <v>90</v>
      </c>
      <c r="D420" s="66" t="s">
        <v>15</v>
      </c>
      <c r="E420" s="47"/>
      <c r="F420" s="179"/>
      <c r="G420" s="180">
        <f>G421+G423</f>
        <v>6530.4</v>
      </c>
      <c r="H420" s="23"/>
    </row>
    <row r="421" spans="1:8" ht="30.75">
      <c r="A421" s="8" t="s">
        <v>13</v>
      </c>
      <c r="B421" s="9" t="s">
        <v>89</v>
      </c>
      <c r="C421" s="9" t="s">
        <v>90</v>
      </c>
      <c r="D421" s="10" t="s">
        <v>14</v>
      </c>
      <c r="E421" s="10"/>
      <c r="F421" s="11"/>
      <c r="G421" s="11">
        <f>G422</f>
        <v>5157.2</v>
      </c>
      <c r="H421" s="23"/>
    </row>
    <row r="422" spans="1:8" ht="15">
      <c r="A422" s="30" t="s">
        <v>414</v>
      </c>
      <c r="B422" s="158" t="s">
        <v>89</v>
      </c>
      <c r="C422" s="158" t="s">
        <v>90</v>
      </c>
      <c r="D422" s="31" t="s">
        <v>14</v>
      </c>
      <c r="E422" s="163" t="s">
        <v>556</v>
      </c>
      <c r="F422" s="106" t="s">
        <v>12</v>
      </c>
      <c r="G422" s="106">
        <f>3816+1341.2</f>
        <v>5157.2</v>
      </c>
      <c r="H422" s="23"/>
    </row>
    <row r="423" spans="1:8" ht="30.75">
      <c r="A423" s="8" t="s">
        <v>470</v>
      </c>
      <c r="B423" s="10" t="s">
        <v>89</v>
      </c>
      <c r="C423" s="10" t="s">
        <v>90</v>
      </c>
      <c r="D423" s="10" t="s">
        <v>463</v>
      </c>
      <c r="E423" s="37"/>
      <c r="F423" s="86"/>
      <c r="G423" s="11">
        <f>G424</f>
        <v>1373.2</v>
      </c>
      <c r="H423" s="23"/>
    </row>
    <row r="424" spans="1:8" ht="15">
      <c r="A424" s="73" t="s">
        <v>553</v>
      </c>
      <c r="B424" s="165" t="s">
        <v>89</v>
      </c>
      <c r="C424" s="165" t="s">
        <v>90</v>
      </c>
      <c r="D424" s="40" t="s">
        <v>463</v>
      </c>
      <c r="E424" s="40" t="s">
        <v>147</v>
      </c>
      <c r="F424" s="63"/>
      <c r="G424" s="63">
        <f>1000+373.2</f>
        <v>1373.2</v>
      </c>
      <c r="H424" s="23"/>
    </row>
    <row r="425" spans="1:8" ht="15">
      <c r="A425" s="8" t="s">
        <v>247</v>
      </c>
      <c r="B425" s="74" t="s">
        <v>89</v>
      </c>
      <c r="C425" s="74" t="s">
        <v>90</v>
      </c>
      <c r="D425" s="75" t="s">
        <v>248</v>
      </c>
      <c r="E425" s="47"/>
      <c r="F425" s="76"/>
      <c r="G425" s="77">
        <f>G426+G429</f>
        <v>626.1</v>
      </c>
      <c r="H425" s="23"/>
    </row>
    <row r="426" spans="1:8" ht="30.75">
      <c r="A426" s="12" t="s">
        <v>316</v>
      </c>
      <c r="B426" s="134" t="s">
        <v>89</v>
      </c>
      <c r="C426" s="70" t="s">
        <v>90</v>
      </c>
      <c r="D426" s="104" t="s">
        <v>315</v>
      </c>
      <c r="E426" s="43"/>
      <c r="F426" s="41"/>
      <c r="G426" s="105">
        <f>G427+G428</f>
        <v>400</v>
      </c>
      <c r="H426" s="23"/>
    </row>
    <row r="427" spans="1:8" ht="15">
      <c r="A427" s="84" t="s">
        <v>320</v>
      </c>
      <c r="B427" s="85" t="s">
        <v>89</v>
      </c>
      <c r="C427" s="85" t="s">
        <v>90</v>
      </c>
      <c r="D427" s="37" t="s">
        <v>315</v>
      </c>
      <c r="E427" s="37" t="s">
        <v>317</v>
      </c>
      <c r="F427" s="86"/>
      <c r="G427" s="86">
        <v>100</v>
      </c>
      <c r="H427" s="23"/>
    </row>
    <row r="428" spans="1:8" ht="15">
      <c r="A428" s="30" t="s">
        <v>314</v>
      </c>
      <c r="B428" s="39" t="s">
        <v>89</v>
      </c>
      <c r="C428" s="39" t="s">
        <v>90</v>
      </c>
      <c r="D428" s="31" t="s">
        <v>315</v>
      </c>
      <c r="E428" s="31" t="s">
        <v>313</v>
      </c>
      <c r="F428" s="32"/>
      <c r="G428" s="32">
        <v>300</v>
      </c>
      <c r="H428" s="23"/>
    </row>
    <row r="429" spans="1:8" ht="30.75">
      <c r="A429" s="69" t="s">
        <v>543</v>
      </c>
      <c r="B429" s="134" t="s">
        <v>89</v>
      </c>
      <c r="C429" s="70" t="s">
        <v>90</v>
      </c>
      <c r="D429" s="104" t="s">
        <v>542</v>
      </c>
      <c r="E429" s="43"/>
      <c r="F429" s="41"/>
      <c r="G429" s="105">
        <f>G430</f>
        <v>226.1</v>
      </c>
      <c r="H429" s="23"/>
    </row>
    <row r="430" spans="1:8" ht="15">
      <c r="A430" s="16" t="s">
        <v>320</v>
      </c>
      <c r="B430" s="39" t="s">
        <v>89</v>
      </c>
      <c r="C430" s="39" t="s">
        <v>90</v>
      </c>
      <c r="D430" s="31" t="s">
        <v>542</v>
      </c>
      <c r="E430" s="31" t="s">
        <v>317</v>
      </c>
      <c r="F430" s="32"/>
      <c r="G430" s="32">
        <v>226.1</v>
      </c>
      <c r="H430" s="23"/>
    </row>
    <row r="431" spans="1:8" ht="15">
      <c r="A431" s="44" t="s">
        <v>113</v>
      </c>
      <c r="B431" s="74" t="s">
        <v>588</v>
      </c>
      <c r="C431" s="74" t="s">
        <v>90</v>
      </c>
      <c r="D431" s="75" t="s">
        <v>157</v>
      </c>
      <c r="E431" s="47"/>
      <c r="F431" s="76"/>
      <c r="G431" s="77">
        <f>G432</f>
        <v>650</v>
      </c>
      <c r="H431" s="23"/>
    </row>
    <row r="432" spans="1:8" ht="36.75" customHeight="1">
      <c r="A432" s="42" t="s">
        <v>580</v>
      </c>
      <c r="B432" s="78" t="s">
        <v>89</v>
      </c>
      <c r="C432" s="79" t="s">
        <v>90</v>
      </c>
      <c r="D432" s="80" t="s">
        <v>583</v>
      </c>
      <c r="E432" s="40"/>
      <c r="F432" s="63"/>
      <c r="G432" s="81">
        <f>G433</f>
        <v>650</v>
      </c>
      <c r="H432" s="23"/>
    </row>
    <row r="433" spans="1:8" ht="62.25" customHeight="1">
      <c r="A433" s="36" t="s">
        <v>586</v>
      </c>
      <c r="B433" s="34" t="s">
        <v>89</v>
      </c>
      <c r="C433" s="34" t="s">
        <v>90</v>
      </c>
      <c r="D433" s="94" t="s">
        <v>587</v>
      </c>
      <c r="E433" s="94"/>
      <c r="F433" s="166"/>
      <c r="G433" s="166">
        <f>G434</f>
        <v>650</v>
      </c>
      <c r="H433" s="23"/>
    </row>
    <row r="434" spans="1:8" ht="15">
      <c r="A434" s="30" t="s">
        <v>553</v>
      </c>
      <c r="B434" s="39" t="s">
        <v>89</v>
      </c>
      <c r="C434" s="39" t="s">
        <v>90</v>
      </c>
      <c r="D434" s="31" t="s">
        <v>587</v>
      </c>
      <c r="E434" s="31" t="s">
        <v>147</v>
      </c>
      <c r="F434" s="32">
        <v>10162.6</v>
      </c>
      <c r="G434" s="32">
        <f>440+210</f>
        <v>650</v>
      </c>
      <c r="H434" s="23"/>
    </row>
    <row r="435" spans="1:8" ht="25.5" customHeight="1">
      <c r="A435" s="8" t="s">
        <v>604</v>
      </c>
      <c r="B435" s="9" t="s">
        <v>89</v>
      </c>
      <c r="C435" s="9" t="s">
        <v>93</v>
      </c>
      <c r="D435" s="10" t="s">
        <v>43</v>
      </c>
      <c r="E435" s="10" t="s">
        <v>43</v>
      </c>
      <c r="F435" s="11" t="e">
        <f>F436+F440</f>
        <v>#REF!</v>
      </c>
      <c r="G435" s="11">
        <f>G436+G440+G444</f>
        <v>8575.8</v>
      </c>
      <c r="H435" s="11" t="e">
        <f>#REF!-F435</f>
        <v>#REF!</v>
      </c>
    </row>
    <row r="436" spans="1:8" ht="46.5">
      <c r="A436" s="12" t="s">
        <v>128</v>
      </c>
      <c r="B436" s="13" t="s">
        <v>89</v>
      </c>
      <c r="C436" s="13" t="s">
        <v>93</v>
      </c>
      <c r="D436" s="14" t="s">
        <v>129</v>
      </c>
      <c r="E436" s="14" t="s">
        <v>43</v>
      </c>
      <c r="F436" s="15">
        <f>F437</f>
        <v>1687.8</v>
      </c>
      <c r="G436" s="15">
        <f>G437</f>
        <v>1942.4</v>
      </c>
      <c r="H436" s="15" t="e">
        <f>#REF!-F436</f>
        <v>#REF!</v>
      </c>
    </row>
    <row r="437" spans="1:8" ht="15">
      <c r="A437" s="51" t="s">
        <v>48</v>
      </c>
      <c r="B437" s="45" t="s">
        <v>89</v>
      </c>
      <c r="C437" s="45" t="s">
        <v>93</v>
      </c>
      <c r="D437" s="46" t="s">
        <v>133</v>
      </c>
      <c r="E437" s="46"/>
      <c r="F437" s="48">
        <f>SUM(F438:F439)</f>
        <v>1687.8</v>
      </c>
      <c r="G437" s="48">
        <f>SUM(G438:G439)</f>
        <v>1942.4</v>
      </c>
      <c r="H437" s="11" t="e">
        <f>#REF!-F437</f>
        <v>#REF!</v>
      </c>
    </row>
    <row r="438" spans="1:8" ht="15" customHeight="1">
      <c r="A438" s="20" t="s">
        <v>132</v>
      </c>
      <c r="B438" s="21" t="s">
        <v>89</v>
      </c>
      <c r="C438" s="21" t="s">
        <v>93</v>
      </c>
      <c r="D438" s="22" t="s">
        <v>133</v>
      </c>
      <c r="E438" s="22" t="s">
        <v>131</v>
      </c>
      <c r="F438" s="23">
        <v>196.6</v>
      </c>
      <c r="G438" s="23">
        <f>257.7+30</f>
        <v>287.7</v>
      </c>
      <c r="H438" s="19" t="e">
        <f>#REF!-F438</f>
        <v>#REF!</v>
      </c>
    </row>
    <row r="439" spans="1:8" ht="15" customHeight="1">
      <c r="A439" s="16" t="s">
        <v>251</v>
      </c>
      <c r="B439" s="17" t="s">
        <v>89</v>
      </c>
      <c r="C439" s="17" t="s">
        <v>93</v>
      </c>
      <c r="D439" s="18" t="s">
        <v>250</v>
      </c>
      <c r="E439" s="18" t="s">
        <v>131</v>
      </c>
      <c r="F439" s="19">
        <v>1491.2</v>
      </c>
      <c r="G439" s="19">
        <f>1699.7+0.2-45.2</f>
        <v>1654.7</v>
      </c>
      <c r="H439" s="19" t="e">
        <f>#REF!-F439</f>
        <v>#REF!</v>
      </c>
    </row>
    <row r="440" spans="1:8" ht="25.5" customHeight="1">
      <c r="A440" s="8" t="s">
        <v>0</v>
      </c>
      <c r="B440" s="9" t="s">
        <v>89</v>
      </c>
      <c r="C440" s="9" t="s">
        <v>93</v>
      </c>
      <c r="D440" s="10" t="s">
        <v>191</v>
      </c>
      <c r="E440" s="10" t="s">
        <v>43</v>
      </c>
      <c r="F440" s="11" t="e">
        <f>F441</f>
        <v>#REF!</v>
      </c>
      <c r="G440" s="11">
        <f>G441</f>
        <v>5233.4</v>
      </c>
      <c r="H440" s="11" t="e">
        <f>#REF!-F440</f>
        <v>#REF!</v>
      </c>
    </row>
    <row r="441" spans="1:8" ht="18.75" customHeight="1">
      <c r="A441" s="8" t="s">
        <v>1</v>
      </c>
      <c r="B441" s="9" t="s">
        <v>89</v>
      </c>
      <c r="C441" s="9" t="s">
        <v>93</v>
      </c>
      <c r="D441" s="10" t="s">
        <v>241</v>
      </c>
      <c r="E441" s="10"/>
      <c r="F441" s="11" t="e">
        <f>F442+#REF!+#REF!</f>
        <v>#REF!</v>
      </c>
      <c r="G441" s="11">
        <f>G442</f>
        <v>5233.4</v>
      </c>
      <c r="H441" s="11" t="e">
        <f>#REF!-F441</f>
        <v>#REF!</v>
      </c>
    </row>
    <row r="442" spans="1:8" ht="19.5" customHeight="1">
      <c r="A442" s="8" t="s">
        <v>21</v>
      </c>
      <c r="B442" s="9" t="s">
        <v>89</v>
      </c>
      <c r="C442" s="9" t="s">
        <v>93</v>
      </c>
      <c r="D442" s="10" t="s">
        <v>242</v>
      </c>
      <c r="E442" s="10" t="s">
        <v>43</v>
      </c>
      <c r="F442" s="11">
        <f>F443</f>
        <v>3942.1000000000004</v>
      </c>
      <c r="G442" s="11">
        <f>G443</f>
        <v>5233.4</v>
      </c>
      <c r="H442" s="11" t="e">
        <f>#REF!-F442</f>
        <v>#REF!</v>
      </c>
    </row>
    <row r="443" spans="1:8" ht="20.25" customHeight="1">
      <c r="A443" s="24" t="s">
        <v>132</v>
      </c>
      <c r="B443" s="25" t="s">
        <v>89</v>
      </c>
      <c r="C443" s="25" t="s">
        <v>93</v>
      </c>
      <c r="D443" s="26" t="s">
        <v>242</v>
      </c>
      <c r="E443" s="26" t="s">
        <v>131</v>
      </c>
      <c r="F443" s="27">
        <f>2994.4+80+920+75-127.2-0.1</f>
        <v>3942.1000000000004</v>
      </c>
      <c r="G443" s="27">
        <f>4038.1-50+45.2+1200+0.1</f>
        <v>5233.4</v>
      </c>
      <c r="H443" s="19" t="e">
        <f>#REF!-F443</f>
        <v>#REF!</v>
      </c>
    </row>
    <row r="444" spans="1:8" ht="20.25" customHeight="1">
      <c r="A444" s="51" t="s">
        <v>18</v>
      </c>
      <c r="B444" s="66" t="s">
        <v>89</v>
      </c>
      <c r="C444" s="66" t="s">
        <v>93</v>
      </c>
      <c r="D444" s="66" t="s">
        <v>17</v>
      </c>
      <c r="E444" s="47"/>
      <c r="F444" s="76"/>
      <c r="G444" s="48">
        <f>G445</f>
        <v>1400</v>
      </c>
      <c r="H444" s="23"/>
    </row>
    <row r="445" spans="1:8" ht="20.25" customHeight="1">
      <c r="A445" s="220" t="s">
        <v>16</v>
      </c>
      <c r="B445" s="66" t="s">
        <v>89</v>
      </c>
      <c r="C445" s="66" t="s">
        <v>93</v>
      </c>
      <c r="D445" s="272" t="s">
        <v>15</v>
      </c>
      <c r="E445" s="188"/>
      <c r="F445" s="221"/>
      <c r="G445" s="143">
        <f>G446+G448</f>
        <v>1400</v>
      </c>
      <c r="H445" s="23"/>
    </row>
    <row r="446" spans="1:8" ht="33.75" customHeight="1">
      <c r="A446" s="8" t="s">
        <v>13</v>
      </c>
      <c r="B446" s="9" t="s">
        <v>89</v>
      </c>
      <c r="C446" s="9" t="s">
        <v>93</v>
      </c>
      <c r="D446" s="10" t="s">
        <v>14</v>
      </c>
      <c r="E446" s="10"/>
      <c r="F446" s="11"/>
      <c r="G446" s="11">
        <f>G447</f>
        <v>400</v>
      </c>
      <c r="H446" s="23"/>
    </row>
    <row r="447" spans="1:8" ht="20.25" customHeight="1">
      <c r="A447" s="30" t="s">
        <v>414</v>
      </c>
      <c r="B447" s="158" t="s">
        <v>89</v>
      </c>
      <c r="C447" s="158" t="s">
        <v>93</v>
      </c>
      <c r="D447" s="31" t="s">
        <v>14</v>
      </c>
      <c r="E447" s="163" t="s">
        <v>556</v>
      </c>
      <c r="F447" s="106" t="s">
        <v>12</v>
      </c>
      <c r="G447" s="106">
        <v>400</v>
      </c>
      <c r="H447" s="23"/>
    </row>
    <row r="448" spans="1:8" ht="30" customHeight="1">
      <c r="A448" s="8" t="s">
        <v>470</v>
      </c>
      <c r="B448" s="10" t="s">
        <v>89</v>
      </c>
      <c r="C448" s="10" t="s">
        <v>93</v>
      </c>
      <c r="D448" s="10" t="s">
        <v>463</v>
      </c>
      <c r="E448" s="37"/>
      <c r="F448" s="86"/>
      <c r="G448" s="11">
        <f>G449</f>
        <v>1000</v>
      </c>
      <c r="H448" s="23"/>
    </row>
    <row r="449" spans="1:8" ht="20.25" customHeight="1">
      <c r="A449" s="16" t="s">
        <v>132</v>
      </c>
      <c r="B449" s="165" t="s">
        <v>89</v>
      </c>
      <c r="C449" s="165" t="s">
        <v>93</v>
      </c>
      <c r="D449" s="40" t="s">
        <v>463</v>
      </c>
      <c r="E449" s="40" t="s">
        <v>131</v>
      </c>
      <c r="F449" s="63"/>
      <c r="G449" s="63">
        <v>1000</v>
      </c>
      <c r="H449" s="23"/>
    </row>
    <row r="450" spans="1:8" ht="15" customHeight="1">
      <c r="A450" s="51" t="s">
        <v>293</v>
      </c>
      <c r="B450" s="66" t="s">
        <v>294</v>
      </c>
      <c r="C450" s="45" t="s">
        <v>294</v>
      </c>
      <c r="D450" s="40"/>
      <c r="E450" s="40"/>
      <c r="F450" s="63"/>
      <c r="G450" s="133">
        <f>G480+G451+G510+G506</f>
        <v>110522.49999999999</v>
      </c>
      <c r="H450" s="23"/>
    </row>
    <row r="451" spans="1:8" ht="15" customHeight="1">
      <c r="A451" s="8" t="s">
        <v>360</v>
      </c>
      <c r="B451" s="9" t="s">
        <v>294</v>
      </c>
      <c r="C451" s="9" t="s">
        <v>361</v>
      </c>
      <c r="D451" s="10"/>
      <c r="E451" s="47"/>
      <c r="F451" s="41"/>
      <c r="G451" s="133">
        <f>G459+G469+G456+G477+G465+G473+G452</f>
        <v>84673.59999999999</v>
      </c>
      <c r="H451" s="23"/>
    </row>
    <row r="452" spans="1:8" ht="15" customHeight="1">
      <c r="A452" s="12" t="s">
        <v>54</v>
      </c>
      <c r="B452" s="9" t="s">
        <v>294</v>
      </c>
      <c r="C452" s="9" t="s">
        <v>361</v>
      </c>
      <c r="D452" s="14" t="s">
        <v>143</v>
      </c>
      <c r="E452" s="14"/>
      <c r="F452" s="41"/>
      <c r="G452" s="48">
        <f>G453</f>
        <v>1000</v>
      </c>
      <c r="H452" s="23"/>
    </row>
    <row r="453" spans="1:8" ht="15" customHeight="1">
      <c r="A453" s="12" t="s">
        <v>458</v>
      </c>
      <c r="B453" s="13" t="s">
        <v>294</v>
      </c>
      <c r="C453" s="13" t="s">
        <v>361</v>
      </c>
      <c r="D453" s="14" t="s">
        <v>457</v>
      </c>
      <c r="E453" s="14"/>
      <c r="F453" s="41"/>
      <c r="G453" s="72">
        <f>G454</f>
        <v>1000</v>
      </c>
      <c r="H453" s="23"/>
    </row>
    <row r="454" spans="1:8" ht="15" customHeight="1">
      <c r="A454" s="8" t="s">
        <v>382</v>
      </c>
      <c r="B454" s="9" t="s">
        <v>294</v>
      </c>
      <c r="C454" s="9" t="s">
        <v>361</v>
      </c>
      <c r="D454" s="10" t="s">
        <v>381</v>
      </c>
      <c r="E454" s="10"/>
      <c r="F454" s="86"/>
      <c r="G454" s="11">
        <f>G455</f>
        <v>1000</v>
      </c>
      <c r="H454" s="23"/>
    </row>
    <row r="455" spans="1:8" ht="15" customHeight="1">
      <c r="A455" s="30" t="s">
        <v>320</v>
      </c>
      <c r="B455" s="39" t="s">
        <v>294</v>
      </c>
      <c r="C455" s="39" t="s">
        <v>361</v>
      </c>
      <c r="D455" s="31" t="s">
        <v>381</v>
      </c>
      <c r="E455" s="31" t="s">
        <v>317</v>
      </c>
      <c r="F455" s="32"/>
      <c r="G455" s="32">
        <v>1000</v>
      </c>
      <c r="H455" s="23"/>
    </row>
    <row r="456" spans="1:8" ht="48" customHeight="1">
      <c r="A456" s="69" t="s">
        <v>444</v>
      </c>
      <c r="B456" s="70" t="s">
        <v>294</v>
      </c>
      <c r="C456" s="70" t="s">
        <v>361</v>
      </c>
      <c r="D456" s="71" t="s">
        <v>524</v>
      </c>
      <c r="E456" s="43"/>
      <c r="F456" s="41"/>
      <c r="G456" s="168">
        <f>G457</f>
        <v>62390.899999999994</v>
      </c>
      <c r="H456" s="23"/>
    </row>
    <row r="457" spans="1:8" ht="54" customHeight="1">
      <c r="A457" s="8" t="s">
        <v>525</v>
      </c>
      <c r="B457" s="9" t="s">
        <v>294</v>
      </c>
      <c r="C457" s="9" t="s">
        <v>361</v>
      </c>
      <c r="D457" s="10" t="s">
        <v>526</v>
      </c>
      <c r="E457" s="37"/>
      <c r="F457" s="86"/>
      <c r="G457" s="169">
        <f>G458</f>
        <v>62390.899999999994</v>
      </c>
      <c r="H457" s="23"/>
    </row>
    <row r="458" spans="1:8" ht="15" customHeight="1">
      <c r="A458" s="20" t="s">
        <v>314</v>
      </c>
      <c r="B458" s="21" t="s">
        <v>294</v>
      </c>
      <c r="C458" s="21" t="s">
        <v>361</v>
      </c>
      <c r="D458" s="22" t="s">
        <v>526</v>
      </c>
      <c r="E458" s="43" t="s">
        <v>313</v>
      </c>
      <c r="F458" s="41"/>
      <c r="G458" s="63">
        <f>50920.6+500+10970.3</f>
        <v>62390.899999999994</v>
      </c>
      <c r="H458" s="23"/>
    </row>
    <row r="459" spans="1:8" ht="15" customHeight="1">
      <c r="A459" s="8" t="s">
        <v>362</v>
      </c>
      <c r="B459" s="9" t="s">
        <v>294</v>
      </c>
      <c r="C459" s="9" t="s">
        <v>361</v>
      </c>
      <c r="D459" s="10" t="s">
        <v>363</v>
      </c>
      <c r="E459" s="10" t="s">
        <v>43</v>
      </c>
      <c r="F459" s="41"/>
      <c r="G459" s="133">
        <f>G460+G462</f>
        <v>9591.2</v>
      </c>
      <c r="H459" s="23"/>
    </row>
    <row r="460" spans="1:8" ht="15" customHeight="1">
      <c r="A460" s="8" t="s">
        <v>173</v>
      </c>
      <c r="B460" s="9" t="s">
        <v>294</v>
      </c>
      <c r="C460" s="9" t="s">
        <v>361</v>
      </c>
      <c r="D460" s="10" t="s">
        <v>364</v>
      </c>
      <c r="E460" s="10"/>
      <c r="F460" s="23"/>
      <c r="G460" s="131">
        <f>G461</f>
        <v>4609.2</v>
      </c>
      <c r="H460" s="23"/>
    </row>
    <row r="461" spans="1:8" ht="15" customHeight="1">
      <c r="A461" s="30" t="s">
        <v>553</v>
      </c>
      <c r="B461" s="39" t="s">
        <v>294</v>
      </c>
      <c r="C461" s="39" t="s">
        <v>361</v>
      </c>
      <c r="D461" s="31" t="s">
        <v>364</v>
      </c>
      <c r="E461" s="31" t="s">
        <v>147</v>
      </c>
      <c r="F461" s="32"/>
      <c r="G461" s="32">
        <v>4609.2</v>
      </c>
      <c r="H461" s="23"/>
    </row>
    <row r="462" spans="1:8" ht="35.25" customHeight="1">
      <c r="A462" s="12" t="s">
        <v>221</v>
      </c>
      <c r="B462" s="13" t="s">
        <v>294</v>
      </c>
      <c r="C462" s="13" t="s">
        <v>361</v>
      </c>
      <c r="D462" s="14" t="s">
        <v>365</v>
      </c>
      <c r="E462" s="14"/>
      <c r="F462" s="175"/>
      <c r="G462" s="15">
        <f>G463+G464</f>
        <v>4982</v>
      </c>
      <c r="H462" s="23"/>
    </row>
    <row r="463" spans="1:8" ht="33.75" customHeight="1">
      <c r="A463" s="84" t="s">
        <v>559</v>
      </c>
      <c r="B463" s="85" t="s">
        <v>294</v>
      </c>
      <c r="C463" s="85" t="s">
        <v>361</v>
      </c>
      <c r="D463" s="37" t="s">
        <v>365</v>
      </c>
      <c r="E463" s="37" t="s">
        <v>557</v>
      </c>
      <c r="F463" s="86"/>
      <c r="G463" s="86">
        <f>1053.5+2329.3</f>
        <v>3382.8</v>
      </c>
      <c r="H463" s="23"/>
    </row>
    <row r="464" spans="1:8" ht="18" customHeight="1">
      <c r="A464" s="30" t="s">
        <v>314</v>
      </c>
      <c r="B464" s="39" t="s">
        <v>294</v>
      </c>
      <c r="C464" s="39" t="s">
        <v>361</v>
      </c>
      <c r="D464" s="31" t="s">
        <v>365</v>
      </c>
      <c r="E464" s="31" t="s">
        <v>313</v>
      </c>
      <c r="F464" s="32"/>
      <c r="G464" s="32">
        <f>500+1099.2</f>
        <v>1599.2</v>
      </c>
      <c r="H464" s="23"/>
    </row>
    <row r="465" spans="1:8" ht="18" customHeight="1">
      <c r="A465" s="69" t="s">
        <v>111</v>
      </c>
      <c r="B465" s="186" t="s">
        <v>294</v>
      </c>
      <c r="C465" s="186" t="s">
        <v>361</v>
      </c>
      <c r="D465" s="71" t="s">
        <v>179</v>
      </c>
      <c r="E465" s="43"/>
      <c r="F465" s="41"/>
      <c r="G465" s="72">
        <f>G466</f>
        <v>222</v>
      </c>
      <c r="H465" s="23"/>
    </row>
    <row r="466" spans="1:8" ht="18" customHeight="1">
      <c r="A466" s="206" t="s">
        <v>416</v>
      </c>
      <c r="B466" s="66" t="s">
        <v>294</v>
      </c>
      <c r="C466" s="45" t="s">
        <v>361</v>
      </c>
      <c r="D466" s="187" t="s">
        <v>417</v>
      </c>
      <c r="E466" s="188"/>
      <c r="F466" s="189">
        <v>4110.88</v>
      </c>
      <c r="G466" s="143">
        <f>G467</f>
        <v>222</v>
      </c>
      <c r="H466" s="23"/>
    </row>
    <row r="467" spans="1:8" ht="18" customHeight="1">
      <c r="A467" s="219" t="s">
        <v>430</v>
      </c>
      <c r="B467" s="134" t="s">
        <v>294</v>
      </c>
      <c r="C467" s="70" t="s">
        <v>361</v>
      </c>
      <c r="D467" s="157" t="s">
        <v>418</v>
      </c>
      <c r="E467" s="130"/>
      <c r="F467" s="41"/>
      <c r="G467" s="72">
        <f>G468</f>
        <v>222</v>
      </c>
      <c r="H467" s="23"/>
    </row>
    <row r="468" spans="1:8" ht="18" customHeight="1">
      <c r="A468" s="30" t="s">
        <v>314</v>
      </c>
      <c r="B468" s="39" t="s">
        <v>294</v>
      </c>
      <c r="C468" s="39" t="s">
        <v>361</v>
      </c>
      <c r="D468" s="31" t="s">
        <v>418</v>
      </c>
      <c r="E468" s="31" t="s">
        <v>313</v>
      </c>
      <c r="F468" s="32"/>
      <c r="G468" s="32">
        <v>222</v>
      </c>
      <c r="H468" s="23"/>
    </row>
    <row r="469" spans="1:8" ht="18" customHeight="1">
      <c r="A469" s="51" t="s">
        <v>18</v>
      </c>
      <c r="B469" s="198" t="s">
        <v>294</v>
      </c>
      <c r="C469" s="198" t="s">
        <v>361</v>
      </c>
      <c r="D469" s="46" t="s">
        <v>17</v>
      </c>
      <c r="E469" s="47"/>
      <c r="F469" s="76"/>
      <c r="G469" s="48">
        <f>G470</f>
        <v>4169.5</v>
      </c>
      <c r="H469" s="23"/>
    </row>
    <row r="470" spans="1:8" ht="46.5" customHeight="1">
      <c r="A470" s="271" t="s">
        <v>422</v>
      </c>
      <c r="B470" s="66" t="s">
        <v>294</v>
      </c>
      <c r="C470" s="45" t="s">
        <v>361</v>
      </c>
      <c r="D470" s="187" t="s">
        <v>404</v>
      </c>
      <c r="E470" s="188"/>
      <c r="F470" s="189">
        <v>4110.88</v>
      </c>
      <c r="G470" s="143">
        <f>G471</f>
        <v>4169.5</v>
      </c>
      <c r="H470" s="23"/>
    </row>
    <row r="471" spans="1:8" ht="30.75" customHeight="1">
      <c r="A471" s="215" t="s">
        <v>533</v>
      </c>
      <c r="B471" s="54" t="s">
        <v>294</v>
      </c>
      <c r="C471" s="9" t="s">
        <v>361</v>
      </c>
      <c r="D471" s="54" t="s">
        <v>471</v>
      </c>
      <c r="E471" s="37"/>
      <c r="F471" s="86"/>
      <c r="G471" s="11">
        <f>G472</f>
        <v>4169.5</v>
      </c>
      <c r="H471" s="23"/>
    </row>
    <row r="472" spans="1:8" ht="28.5" customHeight="1">
      <c r="A472" s="62" t="s">
        <v>559</v>
      </c>
      <c r="B472" s="165" t="s">
        <v>294</v>
      </c>
      <c r="C472" s="165" t="s">
        <v>361</v>
      </c>
      <c r="D472" s="40" t="s">
        <v>471</v>
      </c>
      <c r="E472" s="40" t="s">
        <v>557</v>
      </c>
      <c r="F472" s="63"/>
      <c r="G472" s="63">
        <v>4169.5</v>
      </c>
      <c r="H472" s="23"/>
    </row>
    <row r="473" spans="1:8" ht="28.5" customHeight="1">
      <c r="A473" s="69" t="s">
        <v>247</v>
      </c>
      <c r="B473" s="186" t="s">
        <v>294</v>
      </c>
      <c r="C473" s="186" t="s">
        <v>361</v>
      </c>
      <c r="D473" s="71" t="s">
        <v>248</v>
      </c>
      <c r="E473" s="43"/>
      <c r="F473" s="41"/>
      <c r="G473" s="72">
        <f>G474</f>
        <v>6600</v>
      </c>
      <c r="H473" s="23"/>
    </row>
    <row r="474" spans="1:8" ht="48" customHeight="1">
      <c r="A474" s="206" t="s">
        <v>446</v>
      </c>
      <c r="B474" s="66" t="s">
        <v>294</v>
      </c>
      <c r="C474" s="45" t="s">
        <v>361</v>
      </c>
      <c r="D474" s="187" t="s">
        <v>431</v>
      </c>
      <c r="E474" s="188"/>
      <c r="F474" s="189"/>
      <c r="G474" s="143">
        <f>G475</f>
        <v>6600</v>
      </c>
      <c r="H474" s="23"/>
    </row>
    <row r="475" spans="1:8" ht="33" customHeight="1">
      <c r="A475" s="219" t="s">
        <v>447</v>
      </c>
      <c r="B475" s="134" t="s">
        <v>294</v>
      </c>
      <c r="C475" s="70" t="s">
        <v>361</v>
      </c>
      <c r="D475" s="157" t="s">
        <v>432</v>
      </c>
      <c r="E475" s="130"/>
      <c r="F475" s="41"/>
      <c r="G475" s="72">
        <f>G476</f>
        <v>6600</v>
      </c>
      <c r="H475" s="23"/>
    </row>
    <row r="476" spans="1:8" ht="21" customHeight="1">
      <c r="A476" s="30" t="s">
        <v>314</v>
      </c>
      <c r="B476" s="39" t="s">
        <v>294</v>
      </c>
      <c r="C476" s="39" t="s">
        <v>361</v>
      </c>
      <c r="D476" s="31" t="s">
        <v>432</v>
      </c>
      <c r="E476" s="31" t="s">
        <v>313</v>
      </c>
      <c r="F476" s="32"/>
      <c r="G476" s="32">
        <v>6600</v>
      </c>
      <c r="H476" s="23"/>
    </row>
    <row r="477" spans="1:8" ht="15" customHeight="1">
      <c r="A477" s="44" t="s">
        <v>113</v>
      </c>
      <c r="B477" s="74" t="s">
        <v>294</v>
      </c>
      <c r="C477" s="74" t="s">
        <v>361</v>
      </c>
      <c r="D477" s="75" t="s">
        <v>157</v>
      </c>
      <c r="E477" s="47"/>
      <c r="F477" s="76"/>
      <c r="G477" s="77">
        <f>G478</f>
        <v>700</v>
      </c>
      <c r="H477" s="23"/>
    </row>
    <row r="478" spans="1:8" ht="28.5" customHeight="1">
      <c r="A478" s="69" t="s">
        <v>528</v>
      </c>
      <c r="B478" s="243" t="s">
        <v>294</v>
      </c>
      <c r="C478" s="243" t="s">
        <v>361</v>
      </c>
      <c r="D478" s="154" t="s">
        <v>527</v>
      </c>
      <c r="E478" s="130"/>
      <c r="F478" s="175"/>
      <c r="G478" s="155">
        <f>G479</f>
        <v>700</v>
      </c>
      <c r="H478" s="23"/>
    </row>
    <row r="479" spans="1:8" ht="17.25" customHeight="1">
      <c r="A479" s="30" t="s">
        <v>314</v>
      </c>
      <c r="B479" s="39" t="s">
        <v>294</v>
      </c>
      <c r="C479" s="39" t="s">
        <v>361</v>
      </c>
      <c r="D479" s="31" t="s">
        <v>527</v>
      </c>
      <c r="E479" s="31" t="s">
        <v>313</v>
      </c>
      <c r="F479" s="32"/>
      <c r="G479" s="32">
        <v>700</v>
      </c>
      <c r="H479" s="23"/>
    </row>
    <row r="480" spans="1:8" ht="23.25" customHeight="1">
      <c r="A480" s="28" t="s">
        <v>295</v>
      </c>
      <c r="B480" s="78" t="s">
        <v>294</v>
      </c>
      <c r="C480" s="79" t="s">
        <v>296</v>
      </c>
      <c r="D480" s="22"/>
      <c r="E480" s="22"/>
      <c r="F480" s="23"/>
      <c r="G480" s="133">
        <f>G481+G484+G493+G497+G489</f>
        <v>25410.200000000004</v>
      </c>
      <c r="H480" s="23"/>
    </row>
    <row r="481" spans="1:8" ht="29.25" customHeight="1">
      <c r="A481" s="51" t="s">
        <v>167</v>
      </c>
      <c r="B481" s="54" t="s">
        <v>294</v>
      </c>
      <c r="C481" s="54" t="s">
        <v>296</v>
      </c>
      <c r="D481" s="54" t="s">
        <v>168</v>
      </c>
      <c r="E481" s="130"/>
      <c r="F481" s="130"/>
      <c r="G481" s="132">
        <f>G482</f>
        <v>3307.5</v>
      </c>
      <c r="H481" s="23"/>
    </row>
    <row r="482" spans="1:8" ht="32.25" customHeight="1">
      <c r="A482" s="8" t="s">
        <v>252</v>
      </c>
      <c r="B482" s="54" t="s">
        <v>294</v>
      </c>
      <c r="C482" s="54" t="s">
        <v>296</v>
      </c>
      <c r="D482" s="54" t="s">
        <v>246</v>
      </c>
      <c r="E482" s="37"/>
      <c r="F482" s="37"/>
      <c r="G482" s="131">
        <f>G483</f>
        <v>3307.5</v>
      </c>
      <c r="H482" s="23"/>
    </row>
    <row r="483" spans="1:8" ht="15" customHeight="1">
      <c r="A483" s="30" t="s">
        <v>169</v>
      </c>
      <c r="B483" s="31" t="s">
        <v>294</v>
      </c>
      <c r="C483" s="31" t="s">
        <v>296</v>
      </c>
      <c r="D483" s="31" t="s">
        <v>246</v>
      </c>
      <c r="E483" s="31" t="s">
        <v>170</v>
      </c>
      <c r="F483" s="31" t="s">
        <v>592</v>
      </c>
      <c r="G483" s="32">
        <f>1252.5+55+2000</f>
        <v>3307.5</v>
      </c>
      <c r="H483" s="23"/>
    </row>
    <row r="484" spans="1:8" ht="15" customHeight="1">
      <c r="A484" s="8" t="s">
        <v>392</v>
      </c>
      <c r="B484" s="9" t="s">
        <v>294</v>
      </c>
      <c r="C484" s="9" t="s">
        <v>296</v>
      </c>
      <c r="D484" s="10" t="s">
        <v>390</v>
      </c>
      <c r="E484" s="10"/>
      <c r="F484" s="43"/>
      <c r="G484" s="48">
        <f>G487+G485</f>
        <v>1740.7000000000003</v>
      </c>
      <c r="H484" s="23"/>
    </row>
    <row r="485" spans="1:8" ht="15" customHeight="1">
      <c r="A485" s="8" t="s">
        <v>173</v>
      </c>
      <c r="B485" s="9" t="s">
        <v>294</v>
      </c>
      <c r="C485" s="9" t="s">
        <v>296</v>
      </c>
      <c r="D485" s="10" t="s">
        <v>391</v>
      </c>
      <c r="E485" s="10"/>
      <c r="F485" s="23"/>
      <c r="G485" s="131">
        <f>G486</f>
        <v>573.6</v>
      </c>
      <c r="H485" s="23"/>
    </row>
    <row r="486" spans="1:8" ht="15" customHeight="1">
      <c r="A486" s="30" t="s">
        <v>553</v>
      </c>
      <c r="B486" s="39" t="s">
        <v>294</v>
      </c>
      <c r="C486" s="39" t="s">
        <v>296</v>
      </c>
      <c r="D486" s="31" t="s">
        <v>391</v>
      </c>
      <c r="E486" s="31" t="s">
        <v>147</v>
      </c>
      <c r="F486" s="32"/>
      <c r="G486" s="32">
        <v>573.6</v>
      </c>
      <c r="H486" s="23"/>
    </row>
    <row r="487" spans="1:8" ht="36" customHeight="1">
      <c r="A487" s="8" t="s">
        <v>221</v>
      </c>
      <c r="B487" s="9" t="s">
        <v>294</v>
      </c>
      <c r="C487" s="9" t="s">
        <v>296</v>
      </c>
      <c r="D487" s="10" t="s">
        <v>365</v>
      </c>
      <c r="E487" s="10"/>
      <c r="F487" s="43"/>
      <c r="G487" s="7">
        <f>G488</f>
        <v>1167.1000000000001</v>
      </c>
      <c r="H487" s="23"/>
    </row>
    <row r="488" spans="1:8" ht="17.25" customHeight="1">
      <c r="A488" s="30" t="s">
        <v>314</v>
      </c>
      <c r="B488" s="39" t="s">
        <v>294</v>
      </c>
      <c r="C488" s="39" t="s">
        <v>296</v>
      </c>
      <c r="D488" s="31" t="s">
        <v>365</v>
      </c>
      <c r="E488" s="31" t="s">
        <v>313</v>
      </c>
      <c r="F488" s="32"/>
      <c r="G488" s="32">
        <f>1082.5+74.2+10.4</f>
        <v>1167.1000000000001</v>
      </c>
      <c r="H488" s="23"/>
    </row>
    <row r="489" spans="1:8" ht="17.25" customHeight="1">
      <c r="A489" s="69" t="s">
        <v>111</v>
      </c>
      <c r="B489" s="186" t="s">
        <v>294</v>
      </c>
      <c r="C489" s="186" t="s">
        <v>296</v>
      </c>
      <c r="D489" s="71" t="s">
        <v>179</v>
      </c>
      <c r="E489" s="43"/>
      <c r="F489" s="41"/>
      <c r="G489" s="72">
        <f>G490</f>
        <v>230</v>
      </c>
      <c r="H489" s="23"/>
    </row>
    <row r="490" spans="1:8" ht="17.25" customHeight="1">
      <c r="A490" s="206" t="s">
        <v>416</v>
      </c>
      <c r="B490" s="66" t="s">
        <v>294</v>
      </c>
      <c r="C490" s="45" t="s">
        <v>296</v>
      </c>
      <c r="D490" s="187" t="s">
        <v>417</v>
      </c>
      <c r="E490" s="188"/>
      <c r="F490" s="189">
        <v>4110.88</v>
      </c>
      <c r="G490" s="143">
        <f>G491</f>
        <v>230</v>
      </c>
      <c r="H490" s="23"/>
    </row>
    <row r="491" spans="1:8" ht="17.25" customHeight="1">
      <c r="A491" s="219" t="s">
        <v>430</v>
      </c>
      <c r="B491" s="134" t="s">
        <v>294</v>
      </c>
      <c r="C491" s="70" t="s">
        <v>296</v>
      </c>
      <c r="D491" s="157" t="s">
        <v>418</v>
      </c>
      <c r="E491" s="130"/>
      <c r="F491" s="41"/>
      <c r="G491" s="72">
        <f>G492</f>
        <v>230</v>
      </c>
      <c r="H491" s="23"/>
    </row>
    <row r="492" spans="1:8" ht="17.25" customHeight="1">
      <c r="A492" s="30" t="s">
        <v>314</v>
      </c>
      <c r="B492" s="39" t="s">
        <v>294</v>
      </c>
      <c r="C492" s="39" t="s">
        <v>296</v>
      </c>
      <c r="D492" s="31" t="s">
        <v>418</v>
      </c>
      <c r="E492" s="31" t="s">
        <v>313</v>
      </c>
      <c r="F492" s="32"/>
      <c r="G492" s="32">
        <v>230</v>
      </c>
      <c r="H492" s="23"/>
    </row>
    <row r="493" spans="1:8" ht="17.25" customHeight="1">
      <c r="A493" s="51" t="s">
        <v>18</v>
      </c>
      <c r="B493" s="198" t="s">
        <v>294</v>
      </c>
      <c r="C493" s="198" t="s">
        <v>296</v>
      </c>
      <c r="D493" s="46" t="s">
        <v>17</v>
      </c>
      <c r="E493" s="47"/>
      <c r="F493" s="76"/>
      <c r="G493" s="48">
        <f>G494</f>
        <v>809.1</v>
      </c>
      <c r="H493" s="23"/>
    </row>
    <row r="494" spans="1:8" ht="86.25" customHeight="1">
      <c r="A494" s="271" t="s">
        <v>422</v>
      </c>
      <c r="B494" s="66" t="s">
        <v>294</v>
      </c>
      <c r="C494" s="45" t="s">
        <v>296</v>
      </c>
      <c r="D494" s="187" t="s">
        <v>404</v>
      </c>
      <c r="E494" s="188"/>
      <c r="F494" s="189">
        <v>4110.88</v>
      </c>
      <c r="G494" s="143">
        <f>G495</f>
        <v>809.1</v>
      </c>
      <c r="H494" s="23"/>
    </row>
    <row r="495" spans="1:8" ht="39" customHeight="1">
      <c r="A495" s="8" t="s">
        <v>533</v>
      </c>
      <c r="B495" s="9" t="s">
        <v>294</v>
      </c>
      <c r="C495" s="9" t="s">
        <v>296</v>
      </c>
      <c r="D495" s="54" t="s">
        <v>471</v>
      </c>
      <c r="E495" s="37"/>
      <c r="F495" s="86"/>
      <c r="G495" s="11">
        <f>G496</f>
        <v>809.1</v>
      </c>
      <c r="H495" s="23"/>
    </row>
    <row r="496" spans="1:8" ht="34.5" customHeight="1">
      <c r="A496" s="62" t="s">
        <v>559</v>
      </c>
      <c r="B496" s="165" t="s">
        <v>294</v>
      </c>
      <c r="C496" s="165" t="s">
        <v>296</v>
      </c>
      <c r="D496" s="40" t="s">
        <v>471</v>
      </c>
      <c r="E496" s="40" t="s">
        <v>557</v>
      </c>
      <c r="F496" s="63"/>
      <c r="G496" s="63">
        <v>809.1</v>
      </c>
      <c r="H496" s="23"/>
    </row>
    <row r="497" spans="1:8" ht="17.25" customHeight="1">
      <c r="A497" s="51" t="s">
        <v>247</v>
      </c>
      <c r="B497" s="198" t="s">
        <v>294</v>
      </c>
      <c r="C497" s="198" t="s">
        <v>296</v>
      </c>
      <c r="D497" s="46" t="s">
        <v>248</v>
      </c>
      <c r="E497" s="47"/>
      <c r="F497" s="76"/>
      <c r="G497" s="48">
        <f>G498+G500+G503</f>
        <v>19322.9</v>
      </c>
      <c r="H497" s="23"/>
    </row>
    <row r="498" spans="1:8" ht="33" customHeight="1">
      <c r="A498" s="69" t="s">
        <v>543</v>
      </c>
      <c r="B498" s="134" t="s">
        <v>294</v>
      </c>
      <c r="C498" s="70" t="s">
        <v>296</v>
      </c>
      <c r="D498" s="104" t="s">
        <v>542</v>
      </c>
      <c r="E498" s="43"/>
      <c r="F498" s="41"/>
      <c r="G498" s="105">
        <f>G499</f>
        <v>209.4</v>
      </c>
      <c r="H498" s="23"/>
    </row>
    <row r="499" spans="1:8" ht="17.25" customHeight="1">
      <c r="A499" s="30" t="s">
        <v>314</v>
      </c>
      <c r="B499" s="39" t="s">
        <v>294</v>
      </c>
      <c r="C499" s="39" t="s">
        <v>296</v>
      </c>
      <c r="D499" s="31" t="s">
        <v>542</v>
      </c>
      <c r="E499" s="31" t="s">
        <v>313</v>
      </c>
      <c r="F499" s="32"/>
      <c r="G499" s="32">
        <v>209.4</v>
      </c>
      <c r="H499" s="23"/>
    </row>
    <row r="500" spans="1:8" ht="17.25" customHeight="1">
      <c r="A500" s="51" t="s">
        <v>531</v>
      </c>
      <c r="B500" s="173" t="s">
        <v>294</v>
      </c>
      <c r="C500" s="173" t="s">
        <v>296</v>
      </c>
      <c r="D500" s="108" t="s">
        <v>532</v>
      </c>
      <c r="E500" s="40"/>
      <c r="F500" s="63"/>
      <c r="G500" s="109">
        <f>G501</f>
        <v>15500</v>
      </c>
      <c r="H500" s="23"/>
    </row>
    <row r="501" spans="1:8" ht="30" customHeight="1">
      <c r="A501" s="69" t="s">
        <v>530</v>
      </c>
      <c r="B501" s="134" t="s">
        <v>294</v>
      </c>
      <c r="C501" s="70" t="s">
        <v>296</v>
      </c>
      <c r="D501" s="104" t="s">
        <v>529</v>
      </c>
      <c r="E501" s="43"/>
      <c r="F501" s="41"/>
      <c r="G501" s="105">
        <f>G502</f>
        <v>15500</v>
      </c>
      <c r="H501" s="23"/>
    </row>
    <row r="502" spans="1:8" ht="17.25" customHeight="1">
      <c r="A502" s="16" t="s">
        <v>169</v>
      </c>
      <c r="B502" s="39" t="s">
        <v>294</v>
      </c>
      <c r="C502" s="39" t="s">
        <v>296</v>
      </c>
      <c r="D502" s="31" t="s">
        <v>529</v>
      </c>
      <c r="E502" s="31" t="s">
        <v>170</v>
      </c>
      <c r="F502" s="32"/>
      <c r="G502" s="32">
        <v>15500</v>
      </c>
      <c r="H502" s="23"/>
    </row>
    <row r="503" spans="1:8" ht="46.5">
      <c r="A503" s="51" t="s">
        <v>446</v>
      </c>
      <c r="B503" s="173" t="s">
        <v>294</v>
      </c>
      <c r="C503" s="173" t="s">
        <v>296</v>
      </c>
      <c r="D503" s="108" t="s">
        <v>431</v>
      </c>
      <c r="E503" s="40"/>
      <c r="F503" s="63"/>
      <c r="G503" s="109">
        <f>G504</f>
        <v>3613.5</v>
      </c>
      <c r="H503" s="23"/>
    </row>
    <row r="504" spans="1:8" ht="30.75">
      <c r="A504" s="69" t="s">
        <v>447</v>
      </c>
      <c r="B504" s="134" t="s">
        <v>294</v>
      </c>
      <c r="C504" s="70" t="s">
        <v>296</v>
      </c>
      <c r="D504" s="104" t="s">
        <v>432</v>
      </c>
      <c r="E504" s="43"/>
      <c r="F504" s="41"/>
      <c r="G504" s="105">
        <f>G505</f>
        <v>3613.5</v>
      </c>
      <c r="H504" s="23"/>
    </row>
    <row r="505" spans="1:8" ht="17.25" customHeight="1">
      <c r="A505" s="30" t="s">
        <v>314</v>
      </c>
      <c r="B505" s="39" t="s">
        <v>294</v>
      </c>
      <c r="C505" s="39" t="s">
        <v>296</v>
      </c>
      <c r="D505" s="31" t="s">
        <v>432</v>
      </c>
      <c r="E505" s="31" t="s">
        <v>313</v>
      </c>
      <c r="F505" s="32"/>
      <c r="G505" s="32">
        <v>3613.5</v>
      </c>
      <c r="H505" s="23"/>
    </row>
    <row r="506" spans="1:8" ht="17.25" customHeight="1">
      <c r="A506" s="49" t="s">
        <v>449</v>
      </c>
      <c r="B506" s="50" t="s">
        <v>294</v>
      </c>
      <c r="C506" s="50" t="s">
        <v>448</v>
      </c>
      <c r="D506" s="10"/>
      <c r="E506" s="10"/>
      <c r="F506" s="11"/>
      <c r="G506" s="11">
        <f>G507</f>
        <v>93.7</v>
      </c>
      <c r="H506" s="23"/>
    </row>
    <row r="507" spans="1:8" ht="17.25" customHeight="1">
      <c r="A507" s="69" t="s">
        <v>362</v>
      </c>
      <c r="B507" s="186" t="s">
        <v>294</v>
      </c>
      <c r="C507" s="186" t="s">
        <v>448</v>
      </c>
      <c r="D507" s="71" t="s">
        <v>363</v>
      </c>
      <c r="E507" s="43"/>
      <c r="F507" s="41"/>
      <c r="G507" s="72">
        <f>G508</f>
        <v>93.7</v>
      </c>
      <c r="H507" s="23"/>
    </row>
    <row r="508" spans="1:8" ht="30.75">
      <c r="A508" s="273" t="s">
        <v>221</v>
      </c>
      <c r="B508" s="157" t="s">
        <v>294</v>
      </c>
      <c r="C508" s="157" t="s">
        <v>448</v>
      </c>
      <c r="D508" s="157" t="s">
        <v>365</v>
      </c>
      <c r="E508" s="274"/>
      <c r="F508" s="275">
        <v>4110.88</v>
      </c>
      <c r="G508" s="224">
        <f>G509</f>
        <v>93.7</v>
      </c>
      <c r="H508" s="23"/>
    </row>
    <row r="509" spans="1:8" ht="17.25" customHeight="1">
      <c r="A509" s="30" t="s">
        <v>314</v>
      </c>
      <c r="B509" s="39" t="s">
        <v>294</v>
      </c>
      <c r="C509" s="39" t="s">
        <v>448</v>
      </c>
      <c r="D509" s="31" t="s">
        <v>365</v>
      </c>
      <c r="E509" s="31" t="s">
        <v>313</v>
      </c>
      <c r="F509" s="32"/>
      <c r="G509" s="32">
        <v>93.7</v>
      </c>
      <c r="H509" s="23"/>
    </row>
    <row r="510" spans="1:8" ht="17.25" customHeight="1">
      <c r="A510" s="276" t="s">
        <v>474</v>
      </c>
      <c r="B510" s="198" t="s">
        <v>294</v>
      </c>
      <c r="C510" s="198" t="s">
        <v>473</v>
      </c>
      <c r="D510" s="46"/>
      <c r="E510" s="46"/>
      <c r="F510" s="48"/>
      <c r="G510" s="48">
        <f>G511</f>
        <v>345</v>
      </c>
      <c r="H510" s="23"/>
    </row>
    <row r="511" spans="1:8" ht="17.25" customHeight="1">
      <c r="A511" s="51" t="s">
        <v>18</v>
      </c>
      <c r="B511" s="198" t="s">
        <v>294</v>
      </c>
      <c r="C511" s="198" t="s">
        <v>473</v>
      </c>
      <c r="D511" s="46" t="s">
        <v>17</v>
      </c>
      <c r="E511" s="47"/>
      <c r="F511" s="76"/>
      <c r="G511" s="48">
        <f>G512</f>
        <v>345</v>
      </c>
      <c r="H511" s="23"/>
    </row>
    <row r="512" spans="1:8" ht="48.75" customHeight="1">
      <c r="A512" s="271" t="s">
        <v>422</v>
      </c>
      <c r="B512" s="66" t="s">
        <v>294</v>
      </c>
      <c r="C512" s="66" t="s">
        <v>473</v>
      </c>
      <c r="D512" s="66" t="s">
        <v>404</v>
      </c>
      <c r="E512" s="188"/>
      <c r="F512" s="221">
        <v>4110.88</v>
      </c>
      <c r="G512" s="143">
        <f>G513</f>
        <v>345</v>
      </c>
      <c r="H512" s="23"/>
    </row>
    <row r="513" spans="1:8" ht="36.75" customHeight="1">
      <c r="A513" s="8" t="s">
        <v>533</v>
      </c>
      <c r="B513" s="54" t="s">
        <v>294</v>
      </c>
      <c r="C513" s="9" t="s">
        <v>473</v>
      </c>
      <c r="D513" s="54" t="s">
        <v>471</v>
      </c>
      <c r="E513" s="37"/>
      <c r="F513" s="86"/>
      <c r="G513" s="11">
        <f>G514</f>
        <v>345</v>
      </c>
      <c r="H513" s="23"/>
    </row>
    <row r="514" spans="1:8" ht="17.25" customHeight="1">
      <c r="A514" s="30" t="s">
        <v>314</v>
      </c>
      <c r="B514" s="165" t="s">
        <v>294</v>
      </c>
      <c r="C514" s="165" t="s">
        <v>473</v>
      </c>
      <c r="D514" s="40" t="s">
        <v>471</v>
      </c>
      <c r="E514" s="40" t="s">
        <v>313</v>
      </c>
      <c r="F514" s="63"/>
      <c r="G514" s="63">
        <v>345</v>
      </c>
      <c r="H514" s="23"/>
    </row>
    <row r="515" spans="1:8" ht="15">
      <c r="A515" s="49" t="s">
        <v>95</v>
      </c>
      <c r="B515" s="50" t="s">
        <v>94</v>
      </c>
      <c r="C515" s="50" t="s">
        <v>94</v>
      </c>
      <c r="D515" s="10" t="s">
        <v>43</v>
      </c>
      <c r="E515" s="10" t="s">
        <v>43</v>
      </c>
      <c r="F515" s="11" t="e">
        <f>F516+F520+F531+F650+F668</f>
        <v>#REF!</v>
      </c>
      <c r="G515" s="11">
        <f>G516+G520+G531+G650+G668</f>
        <v>570193.42</v>
      </c>
      <c r="H515" s="11" t="e">
        <f>#REF!-F515</f>
        <v>#REF!</v>
      </c>
    </row>
    <row r="516" spans="1:8" ht="15">
      <c r="A516" s="8" t="s">
        <v>97</v>
      </c>
      <c r="B516" s="9" t="s">
        <v>94</v>
      </c>
      <c r="C516" s="9" t="s">
        <v>96</v>
      </c>
      <c r="D516" s="10" t="s">
        <v>43</v>
      </c>
      <c r="E516" s="10" t="s">
        <v>43</v>
      </c>
      <c r="F516" s="11">
        <f aca="true" t="shared" si="6" ref="F516:G518">F517</f>
        <v>2212.5</v>
      </c>
      <c r="G516" s="11">
        <f t="shared" si="6"/>
        <v>4284</v>
      </c>
      <c r="H516" s="11" t="e">
        <f>#REF!-F516</f>
        <v>#REF!</v>
      </c>
    </row>
    <row r="517" spans="1:8" ht="15">
      <c r="A517" s="12" t="s">
        <v>193</v>
      </c>
      <c r="B517" s="13" t="s">
        <v>94</v>
      </c>
      <c r="C517" s="13" t="s">
        <v>96</v>
      </c>
      <c r="D517" s="14" t="s">
        <v>194</v>
      </c>
      <c r="E517" s="14" t="s">
        <v>43</v>
      </c>
      <c r="F517" s="15">
        <f t="shared" si="6"/>
        <v>2212.5</v>
      </c>
      <c r="G517" s="15">
        <f t="shared" si="6"/>
        <v>4284</v>
      </c>
      <c r="H517" s="15" t="e">
        <f>#REF!-F517</f>
        <v>#REF!</v>
      </c>
    </row>
    <row r="518" spans="1:8" ht="30.75">
      <c r="A518" s="8" t="s">
        <v>195</v>
      </c>
      <c r="B518" s="9" t="s">
        <v>94</v>
      </c>
      <c r="C518" s="9" t="s">
        <v>96</v>
      </c>
      <c r="D518" s="10" t="s">
        <v>196</v>
      </c>
      <c r="E518" s="10"/>
      <c r="F518" s="11">
        <f t="shared" si="6"/>
        <v>2212.5</v>
      </c>
      <c r="G518" s="11">
        <f t="shared" si="6"/>
        <v>4284</v>
      </c>
      <c r="H518" s="11" t="e">
        <f>#REF!-F518</f>
        <v>#REF!</v>
      </c>
    </row>
    <row r="519" spans="1:8" ht="15" customHeight="1">
      <c r="A519" s="16" t="s">
        <v>197</v>
      </c>
      <c r="B519" s="17" t="s">
        <v>94</v>
      </c>
      <c r="C519" s="17" t="s">
        <v>96</v>
      </c>
      <c r="D519" s="18" t="s">
        <v>196</v>
      </c>
      <c r="E519" s="18" t="s">
        <v>47</v>
      </c>
      <c r="F519" s="19">
        <f>2382.5-170</f>
        <v>2212.5</v>
      </c>
      <c r="G519" s="19">
        <v>4284</v>
      </c>
      <c r="H519" s="19" t="e">
        <f>#REF!-F519</f>
        <v>#REF!</v>
      </c>
    </row>
    <row r="520" spans="1:8" ht="15">
      <c r="A520" s="8" t="s">
        <v>99</v>
      </c>
      <c r="B520" s="9" t="s">
        <v>94</v>
      </c>
      <c r="C520" s="9" t="s">
        <v>98</v>
      </c>
      <c r="D520" s="10" t="s">
        <v>43</v>
      </c>
      <c r="E520" s="10" t="s">
        <v>43</v>
      </c>
      <c r="F520" s="11" t="e">
        <f>F521</f>
        <v>#REF!</v>
      </c>
      <c r="G520" s="11">
        <f>G521+G526</f>
        <v>35835.62</v>
      </c>
      <c r="H520" s="11" t="e">
        <f>#REF!-F520</f>
        <v>#REF!</v>
      </c>
    </row>
    <row r="521" spans="1:8" ht="15">
      <c r="A521" s="51" t="s">
        <v>102</v>
      </c>
      <c r="B521" s="45" t="s">
        <v>94</v>
      </c>
      <c r="C521" s="45" t="s">
        <v>98</v>
      </c>
      <c r="D521" s="46" t="s">
        <v>274</v>
      </c>
      <c r="E521" s="46" t="s">
        <v>43</v>
      </c>
      <c r="F521" s="48" t="e">
        <f>F524</f>
        <v>#REF!</v>
      </c>
      <c r="G521" s="48">
        <f>G524+G522</f>
        <v>578.8</v>
      </c>
      <c r="H521" s="11" t="e">
        <f>#REF!-F521</f>
        <v>#REF!</v>
      </c>
    </row>
    <row r="522" spans="1:8" ht="30.75">
      <c r="A522" s="12" t="s">
        <v>173</v>
      </c>
      <c r="B522" s="13" t="s">
        <v>94</v>
      </c>
      <c r="C522" s="13" t="s">
        <v>98</v>
      </c>
      <c r="D522" s="14" t="s">
        <v>297</v>
      </c>
      <c r="E522" s="14"/>
      <c r="F522" s="15" t="e">
        <f>F523+F524</f>
        <v>#REF!</v>
      </c>
      <c r="G522" s="15">
        <f>G523</f>
        <v>420.8</v>
      </c>
      <c r="H522" s="7"/>
    </row>
    <row r="523" spans="1:8" ht="15">
      <c r="A523" s="30" t="s">
        <v>553</v>
      </c>
      <c r="B523" s="39" t="s">
        <v>94</v>
      </c>
      <c r="C523" s="39" t="s">
        <v>98</v>
      </c>
      <c r="D523" s="31" t="s">
        <v>297</v>
      </c>
      <c r="E523" s="31" t="s">
        <v>147</v>
      </c>
      <c r="F523" s="32">
        <f>7859.3+200+1600</f>
        <v>9659.3</v>
      </c>
      <c r="G523" s="32">
        <v>420.8</v>
      </c>
      <c r="H523" s="7"/>
    </row>
    <row r="524" spans="1:8" ht="30.75">
      <c r="A524" s="51" t="s">
        <v>221</v>
      </c>
      <c r="B524" s="45" t="s">
        <v>94</v>
      </c>
      <c r="C524" s="45" t="s">
        <v>98</v>
      </c>
      <c r="D524" s="46" t="s">
        <v>275</v>
      </c>
      <c r="E524" s="46"/>
      <c r="F524" s="48" t="e">
        <f>F525+#REF!</f>
        <v>#REF!</v>
      </c>
      <c r="G524" s="48">
        <f>G525</f>
        <v>158</v>
      </c>
      <c r="H524" s="7" t="e">
        <f>#REF!-F524</f>
        <v>#REF!</v>
      </c>
    </row>
    <row r="525" spans="1:8" ht="15">
      <c r="A525" s="199" t="s">
        <v>553</v>
      </c>
      <c r="B525" s="200" t="s">
        <v>94</v>
      </c>
      <c r="C525" s="200" t="s">
        <v>98</v>
      </c>
      <c r="D525" s="47" t="s">
        <v>275</v>
      </c>
      <c r="E525" s="47" t="s">
        <v>147</v>
      </c>
      <c r="F525" s="76">
        <f>7859.3+200+1600</f>
        <v>9659.3</v>
      </c>
      <c r="G525" s="76">
        <v>158</v>
      </c>
      <c r="H525" s="32" t="e">
        <f>#REF!-F525</f>
        <v>#REF!</v>
      </c>
    </row>
    <row r="526" spans="1:8" ht="15">
      <c r="A526" s="51" t="s">
        <v>18</v>
      </c>
      <c r="B526" s="198" t="s">
        <v>94</v>
      </c>
      <c r="C526" s="198" t="s">
        <v>98</v>
      </c>
      <c r="D526" s="46" t="s">
        <v>17</v>
      </c>
      <c r="E526" s="47"/>
      <c r="F526" s="76"/>
      <c r="G526" s="48">
        <f>G527</f>
        <v>35256.82</v>
      </c>
      <c r="H526" s="41"/>
    </row>
    <row r="527" spans="1:8" ht="78">
      <c r="A527" s="271" t="s">
        <v>422</v>
      </c>
      <c r="B527" s="66" t="s">
        <v>94</v>
      </c>
      <c r="C527" s="66" t="s">
        <v>98</v>
      </c>
      <c r="D527" s="66" t="s">
        <v>404</v>
      </c>
      <c r="E527" s="188"/>
      <c r="F527" s="221">
        <v>4110.88</v>
      </c>
      <c r="G527" s="143">
        <f>G528</f>
        <v>35256.82</v>
      </c>
      <c r="H527" s="41"/>
    </row>
    <row r="528" spans="1:8" ht="15">
      <c r="A528" s="51" t="s">
        <v>475</v>
      </c>
      <c r="B528" s="198" t="s">
        <v>94</v>
      </c>
      <c r="C528" s="198" t="s">
        <v>98</v>
      </c>
      <c r="D528" s="46" t="s">
        <v>476</v>
      </c>
      <c r="E528" s="47"/>
      <c r="F528" s="76"/>
      <c r="G528" s="76">
        <f>G529+G530</f>
        <v>35256.82</v>
      </c>
      <c r="H528" s="41"/>
    </row>
    <row r="529" spans="1:8" ht="15">
      <c r="A529" s="84" t="s">
        <v>553</v>
      </c>
      <c r="B529" s="85" t="s">
        <v>94</v>
      </c>
      <c r="C529" s="85" t="s">
        <v>98</v>
      </c>
      <c r="D529" s="37" t="s">
        <v>476</v>
      </c>
      <c r="E529" s="37" t="s">
        <v>147</v>
      </c>
      <c r="F529" s="86">
        <f>7859.3+200+1600</f>
        <v>9659.3</v>
      </c>
      <c r="G529" s="86">
        <f>12779.3+124.8</f>
        <v>12904.099999999999</v>
      </c>
      <c r="H529" s="41"/>
    </row>
    <row r="530" spans="1:8" ht="32.25" customHeight="1">
      <c r="A530" s="30" t="s">
        <v>477</v>
      </c>
      <c r="B530" s="39" t="s">
        <v>94</v>
      </c>
      <c r="C530" s="39" t="s">
        <v>98</v>
      </c>
      <c r="D530" s="31" t="s">
        <v>476</v>
      </c>
      <c r="E530" s="31" t="s">
        <v>562</v>
      </c>
      <c r="F530" s="32"/>
      <c r="G530" s="32">
        <f>22352.72</f>
        <v>22352.72</v>
      </c>
      <c r="H530" s="41"/>
    </row>
    <row r="531" spans="1:8" ht="15">
      <c r="A531" s="51" t="s">
        <v>104</v>
      </c>
      <c r="B531" s="45" t="s">
        <v>94</v>
      </c>
      <c r="C531" s="45" t="s">
        <v>103</v>
      </c>
      <c r="D531" s="46" t="s">
        <v>43</v>
      </c>
      <c r="E531" s="46" t="s">
        <v>43</v>
      </c>
      <c r="F531" s="48" t="e">
        <f>F541+F612+F625+#REF!</f>
        <v>#REF!</v>
      </c>
      <c r="G531" s="48">
        <f>G532+G541+G566+G612+G625</f>
        <v>470723.9</v>
      </c>
      <c r="H531" s="11" t="e">
        <f>#REF!-F531</f>
        <v>#REF!</v>
      </c>
    </row>
    <row r="532" spans="1:8" ht="15">
      <c r="A532" s="69" t="s">
        <v>366</v>
      </c>
      <c r="B532" s="70" t="s">
        <v>94</v>
      </c>
      <c r="C532" s="70" t="s">
        <v>103</v>
      </c>
      <c r="D532" s="134" t="s">
        <v>367</v>
      </c>
      <c r="E532" s="43"/>
      <c r="F532" s="15"/>
      <c r="G532" s="15">
        <f>G533</f>
        <v>12772.8</v>
      </c>
      <c r="H532" s="15"/>
    </row>
    <row r="533" spans="1:8" ht="15">
      <c r="A533" s="51" t="s">
        <v>368</v>
      </c>
      <c r="B533" s="45" t="s">
        <v>94</v>
      </c>
      <c r="C533" s="45" t="s">
        <v>103</v>
      </c>
      <c r="D533" s="66" t="s">
        <v>369</v>
      </c>
      <c r="E533" s="47"/>
      <c r="F533" s="15"/>
      <c r="G533" s="15">
        <f>G534+G537+G539</f>
        <v>12772.8</v>
      </c>
      <c r="H533" s="15"/>
    </row>
    <row r="534" spans="1:8" ht="30.75">
      <c r="A534" s="12" t="s">
        <v>396</v>
      </c>
      <c r="B534" s="13" t="s">
        <v>94</v>
      </c>
      <c r="C534" s="13" t="s">
        <v>103</v>
      </c>
      <c r="D534" s="157" t="s">
        <v>370</v>
      </c>
      <c r="E534" s="130"/>
      <c r="F534" s="15"/>
      <c r="G534" s="15">
        <f>G535+G536</f>
        <v>6613.200000000001</v>
      </c>
      <c r="H534" s="15"/>
    </row>
    <row r="535" spans="1:8" ht="15">
      <c r="A535" s="84" t="s">
        <v>169</v>
      </c>
      <c r="B535" s="85" t="s">
        <v>94</v>
      </c>
      <c r="C535" s="85" t="s">
        <v>103</v>
      </c>
      <c r="D535" s="37" t="s">
        <v>370</v>
      </c>
      <c r="E535" s="37" t="s">
        <v>170</v>
      </c>
      <c r="F535" s="11"/>
      <c r="G535" s="86">
        <v>3189.8</v>
      </c>
      <c r="H535" s="15"/>
    </row>
    <row r="536" spans="1:8" ht="15">
      <c r="A536" s="16" t="s">
        <v>197</v>
      </c>
      <c r="B536" s="39" t="s">
        <v>94</v>
      </c>
      <c r="C536" s="39" t="s">
        <v>103</v>
      </c>
      <c r="D536" s="31" t="s">
        <v>370</v>
      </c>
      <c r="E536" s="31" t="s">
        <v>47</v>
      </c>
      <c r="F536" s="164"/>
      <c r="G536" s="32">
        <v>3423.4</v>
      </c>
      <c r="H536" s="15"/>
    </row>
    <row r="537" spans="1:8" ht="15">
      <c r="A537" s="69" t="s">
        <v>373</v>
      </c>
      <c r="B537" s="70" t="s">
        <v>94</v>
      </c>
      <c r="C537" s="70" t="s">
        <v>103</v>
      </c>
      <c r="D537" s="54" t="s">
        <v>374</v>
      </c>
      <c r="E537" s="37"/>
      <c r="F537" s="11"/>
      <c r="G537" s="11">
        <f>G538</f>
        <v>3087.7999999999997</v>
      </c>
      <c r="H537" s="15"/>
    </row>
    <row r="538" spans="1:8" ht="15">
      <c r="A538" s="30" t="s">
        <v>564</v>
      </c>
      <c r="B538" s="39" t="s">
        <v>94</v>
      </c>
      <c r="C538" s="39" t="s">
        <v>103</v>
      </c>
      <c r="D538" s="31" t="s">
        <v>374</v>
      </c>
      <c r="E538" s="31" t="s">
        <v>563</v>
      </c>
      <c r="F538" s="202"/>
      <c r="G538" s="32">
        <f>911.6+2176.2</f>
        <v>3087.7999999999997</v>
      </c>
      <c r="H538" s="15"/>
    </row>
    <row r="539" spans="1:8" ht="30.75">
      <c r="A539" s="69" t="s">
        <v>375</v>
      </c>
      <c r="B539" s="70" t="s">
        <v>94</v>
      </c>
      <c r="C539" s="176" t="s">
        <v>103</v>
      </c>
      <c r="D539" s="176" t="s">
        <v>376</v>
      </c>
      <c r="E539" s="22"/>
      <c r="F539" s="7"/>
      <c r="G539" s="7">
        <f>G540</f>
        <v>3071.8</v>
      </c>
      <c r="H539" s="15"/>
    </row>
    <row r="540" spans="1:8" ht="15">
      <c r="A540" s="30" t="s">
        <v>564</v>
      </c>
      <c r="B540" s="39" t="s">
        <v>94</v>
      </c>
      <c r="C540" s="31" t="s">
        <v>103</v>
      </c>
      <c r="D540" s="31" t="s">
        <v>376</v>
      </c>
      <c r="E540" s="31" t="s">
        <v>563</v>
      </c>
      <c r="F540" s="164"/>
      <c r="G540" s="32">
        <v>3071.8</v>
      </c>
      <c r="H540" s="15"/>
    </row>
    <row r="541" spans="1:8" ht="15">
      <c r="A541" s="12" t="s">
        <v>198</v>
      </c>
      <c r="B541" s="13" t="s">
        <v>94</v>
      </c>
      <c r="C541" s="13" t="s">
        <v>103</v>
      </c>
      <c r="D541" s="14" t="s">
        <v>199</v>
      </c>
      <c r="E541" s="14" t="s">
        <v>43</v>
      </c>
      <c r="F541" s="15" t="e">
        <f>F542+F555+F558+#REF!+#REF!+F552+F560+#REF!+#REF!+#REF!</f>
        <v>#REF!</v>
      </c>
      <c r="G541" s="15">
        <f>+G542+G545+G552+G555+G558+G560</f>
        <v>213934.8</v>
      </c>
      <c r="H541" s="15" t="e">
        <f>#REF!-F541</f>
        <v>#REF!</v>
      </c>
    </row>
    <row r="542" spans="1:8" ht="30.75">
      <c r="A542" s="12" t="s">
        <v>200</v>
      </c>
      <c r="B542" s="13" t="s">
        <v>94</v>
      </c>
      <c r="C542" s="13" t="s">
        <v>103</v>
      </c>
      <c r="D542" s="14" t="s">
        <v>201</v>
      </c>
      <c r="E542" s="14"/>
      <c r="F542" s="15">
        <f>F543</f>
        <v>3891.4</v>
      </c>
      <c r="G542" s="15">
        <f>G543</f>
        <v>4350.2</v>
      </c>
      <c r="H542" s="11" t="e">
        <f>#REF!-F542</f>
        <v>#REF!</v>
      </c>
    </row>
    <row r="543" spans="1:8" ht="30.75">
      <c r="A543" s="8" t="s">
        <v>202</v>
      </c>
      <c r="B543" s="9" t="s">
        <v>94</v>
      </c>
      <c r="C543" s="9" t="s">
        <v>103</v>
      </c>
      <c r="D543" s="10" t="s">
        <v>203</v>
      </c>
      <c r="E543" s="10"/>
      <c r="F543" s="11">
        <f>F544</f>
        <v>3891.4</v>
      </c>
      <c r="G543" s="11">
        <f>G544</f>
        <v>4350.2</v>
      </c>
      <c r="H543" s="7" t="e">
        <f>#REF!-F543</f>
        <v>#REF!</v>
      </c>
    </row>
    <row r="544" spans="1:8" ht="15">
      <c r="A544" s="73" t="s">
        <v>197</v>
      </c>
      <c r="B544" s="31" t="s">
        <v>94</v>
      </c>
      <c r="C544" s="39" t="s">
        <v>103</v>
      </c>
      <c r="D544" s="31" t="s">
        <v>203</v>
      </c>
      <c r="E544" s="31" t="s">
        <v>47</v>
      </c>
      <c r="F544" s="32">
        <v>3891.4</v>
      </c>
      <c r="G544" s="32">
        <v>4350.2</v>
      </c>
      <c r="H544" s="41" t="e">
        <f>#REF!-F544</f>
        <v>#REF!</v>
      </c>
    </row>
    <row r="545" spans="1:8" ht="62.25">
      <c r="A545" s="167" t="s">
        <v>395</v>
      </c>
      <c r="B545" s="45" t="s">
        <v>94</v>
      </c>
      <c r="C545" s="45" t="s">
        <v>103</v>
      </c>
      <c r="D545" s="46" t="s">
        <v>377</v>
      </c>
      <c r="E545" s="47"/>
      <c r="F545" s="41"/>
      <c r="G545" s="48">
        <f>G546+G548+G550</f>
        <v>21943.699999999997</v>
      </c>
      <c r="H545" s="41"/>
    </row>
    <row r="546" spans="1:8" ht="78">
      <c r="A546" s="148" t="s">
        <v>425</v>
      </c>
      <c r="B546" s="9" t="s">
        <v>94</v>
      </c>
      <c r="C546" s="9" t="s">
        <v>103</v>
      </c>
      <c r="D546" s="10" t="s">
        <v>378</v>
      </c>
      <c r="E546" s="10"/>
      <c r="F546" s="41"/>
      <c r="G546" s="11">
        <f>G547</f>
        <v>7065</v>
      </c>
      <c r="H546" s="41"/>
    </row>
    <row r="547" spans="1:8" ht="15">
      <c r="A547" s="30" t="s">
        <v>197</v>
      </c>
      <c r="B547" s="17" t="s">
        <v>94</v>
      </c>
      <c r="C547" s="17" t="s">
        <v>103</v>
      </c>
      <c r="D547" s="18" t="s">
        <v>378</v>
      </c>
      <c r="E547" s="31" t="s">
        <v>47</v>
      </c>
      <c r="F547" s="63"/>
      <c r="G547" s="63">
        <f>6516+549</f>
        <v>7065</v>
      </c>
      <c r="H547" s="41"/>
    </row>
    <row r="548" spans="1:8" ht="62.25">
      <c r="A548" s="69" t="s">
        <v>478</v>
      </c>
      <c r="B548" s="9" t="s">
        <v>94</v>
      </c>
      <c r="C548" s="9" t="s">
        <v>103</v>
      </c>
      <c r="D548" s="10" t="s">
        <v>479</v>
      </c>
      <c r="E548" s="43"/>
      <c r="F548" s="41"/>
      <c r="G548" s="11">
        <f>G549</f>
        <v>13878.699999999999</v>
      </c>
      <c r="H548" s="41"/>
    </row>
    <row r="549" spans="1:8" ht="15">
      <c r="A549" s="30" t="s">
        <v>197</v>
      </c>
      <c r="B549" s="17" t="s">
        <v>94</v>
      </c>
      <c r="C549" s="17" t="s">
        <v>103</v>
      </c>
      <c r="D549" s="18" t="s">
        <v>479</v>
      </c>
      <c r="E549" s="18" t="s">
        <v>47</v>
      </c>
      <c r="F549" s="41"/>
      <c r="G549" s="41">
        <f>14476.3-597.6</f>
        <v>13878.699999999999</v>
      </c>
      <c r="H549" s="41"/>
    </row>
    <row r="550" spans="1:8" ht="78">
      <c r="A550" s="201" t="s">
        <v>450</v>
      </c>
      <c r="B550" s="9" t="s">
        <v>94</v>
      </c>
      <c r="C550" s="9" t="s">
        <v>103</v>
      </c>
      <c r="D550" s="10" t="s">
        <v>480</v>
      </c>
      <c r="E550" s="10"/>
      <c r="F550" s="41"/>
      <c r="G550" s="11">
        <f>G551</f>
        <v>1000</v>
      </c>
      <c r="H550" s="41"/>
    </row>
    <row r="551" spans="1:8" ht="15">
      <c r="A551" s="24" t="s">
        <v>197</v>
      </c>
      <c r="B551" s="17" t="s">
        <v>94</v>
      </c>
      <c r="C551" s="17" t="s">
        <v>103</v>
      </c>
      <c r="D551" s="18" t="s">
        <v>480</v>
      </c>
      <c r="E551" s="18" t="s">
        <v>47</v>
      </c>
      <c r="F551" s="41"/>
      <c r="G551" s="41">
        <f>500+500</f>
        <v>1000</v>
      </c>
      <c r="H551" s="41"/>
    </row>
    <row r="552" spans="1:8" ht="62.25">
      <c r="A552" s="271" t="s">
        <v>279</v>
      </c>
      <c r="B552" s="45" t="s">
        <v>94</v>
      </c>
      <c r="C552" s="45" t="s">
        <v>103</v>
      </c>
      <c r="D552" s="46" t="s">
        <v>239</v>
      </c>
      <c r="E552" s="46"/>
      <c r="F552" s="48" t="e">
        <f>#REF!+#REF!+#REF!+#REF!</f>
        <v>#REF!</v>
      </c>
      <c r="G552" s="48">
        <f>G553</f>
        <v>2896.7</v>
      </c>
      <c r="H552" s="11" t="e">
        <f>#REF!-F552</f>
        <v>#REF!</v>
      </c>
    </row>
    <row r="553" spans="1:8" ht="46.5">
      <c r="A553" s="36" t="s">
        <v>20</v>
      </c>
      <c r="B553" s="9" t="s">
        <v>94</v>
      </c>
      <c r="C553" s="9" t="s">
        <v>103</v>
      </c>
      <c r="D553" s="10" t="s">
        <v>19</v>
      </c>
      <c r="E553" s="10"/>
      <c r="F553" s="11">
        <f>F554</f>
        <v>3875</v>
      </c>
      <c r="G553" s="11">
        <f>G554</f>
        <v>2896.7</v>
      </c>
      <c r="H553" s="41"/>
    </row>
    <row r="554" spans="1:8" ht="15">
      <c r="A554" s="30" t="s">
        <v>197</v>
      </c>
      <c r="B554" s="39" t="s">
        <v>94</v>
      </c>
      <c r="C554" s="39" t="s">
        <v>103</v>
      </c>
      <c r="D554" s="31" t="s">
        <v>19</v>
      </c>
      <c r="E554" s="31" t="s">
        <v>47</v>
      </c>
      <c r="F554" s="32">
        <v>3875</v>
      </c>
      <c r="G554" s="32">
        <v>2896.7</v>
      </c>
      <c r="H554" s="41"/>
    </row>
    <row r="555" spans="1:8" ht="15">
      <c r="A555" s="12" t="s">
        <v>123</v>
      </c>
      <c r="B555" s="13" t="s">
        <v>94</v>
      </c>
      <c r="C555" s="13" t="s">
        <v>103</v>
      </c>
      <c r="D555" s="14" t="s">
        <v>205</v>
      </c>
      <c r="E555" s="14"/>
      <c r="F555" s="15" t="e">
        <f>F556+#REF!</f>
        <v>#REF!</v>
      </c>
      <c r="G555" s="15">
        <f>G556</f>
        <v>178750.8</v>
      </c>
      <c r="H555" s="15" t="e">
        <f>#REF!-F555</f>
        <v>#REF!</v>
      </c>
    </row>
    <row r="556" spans="1:8" ht="46.5">
      <c r="A556" s="8" t="s">
        <v>206</v>
      </c>
      <c r="B556" s="9" t="s">
        <v>94</v>
      </c>
      <c r="C556" s="9" t="s">
        <v>103</v>
      </c>
      <c r="D556" s="10" t="s">
        <v>207</v>
      </c>
      <c r="E556" s="10"/>
      <c r="F556" s="11">
        <f>F557</f>
        <v>102540</v>
      </c>
      <c r="G556" s="11">
        <f>G557</f>
        <v>178750.8</v>
      </c>
      <c r="H556" s="11" t="e">
        <f>#REF!-F556</f>
        <v>#REF!</v>
      </c>
    </row>
    <row r="557" spans="1:8" ht="15">
      <c r="A557" s="16" t="s">
        <v>197</v>
      </c>
      <c r="B557" s="17" t="s">
        <v>94</v>
      </c>
      <c r="C557" s="17" t="s">
        <v>103</v>
      </c>
      <c r="D557" s="18" t="s">
        <v>207</v>
      </c>
      <c r="E557" s="18" t="s">
        <v>47</v>
      </c>
      <c r="F557" s="19">
        <v>102540</v>
      </c>
      <c r="G557" s="19">
        <v>178750.8</v>
      </c>
      <c r="H557" s="19" t="e">
        <f>#REF!-F557</f>
        <v>#REF!</v>
      </c>
    </row>
    <row r="558" spans="1:8" ht="30.75">
      <c r="A558" s="12" t="s">
        <v>208</v>
      </c>
      <c r="B558" s="13" t="s">
        <v>94</v>
      </c>
      <c r="C558" s="13" t="s">
        <v>103</v>
      </c>
      <c r="D558" s="14" t="s">
        <v>209</v>
      </c>
      <c r="E558" s="14"/>
      <c r="F558" s="15">
        <f>F559</f>
        <v>8438</v>
      </c>
      <c r="G558" s="15">
        <f>G559</f>
        <v>4481</v>
      </c>
      <c r="H558" s="15" t="e">
        <f>#REF!-F558</f>
        <v>#REF!</v>
      </c>
    </row>
    <row r="559" spans="1:8" ht="15">
      <c r="A559" s="16" t="s">
        <v>197</v>
      </c>
      <c r="B559" s="17" t="s">
        <v>94</v>
      </c>
      <c r="C559" s="17" t="s">
        <v>103</v>
      </c>
      <c r="D559" s="18" t="s">
        <v>209</v>
      </c>
      <c r="E559" s="18" t="s">
        <v>47</v>
      </c>
      <c r="F559" s="19">
        <v>8438</v>
      </c>
      <c r="G559" s="19">
        <v>4481</v>
      </c>
      <c r="H559" s="19" t="e">
        <f>#REF!-F559</f>
        <v>#REF!</v>
      </c>
    </row>
    <row r="560" spans="1:8" ht="15">
      <c r="A560" s="12" t="s">
        <v>257</v>
      </c>
      <c r="B560" s="13" t="s">
        <v>94</v>
      </c>
      <c r="C560" s="13" t="s">
        <v>103</v>
      </c>
      <c r="D560" s="14" t="s">
        <v>258</v>
      </c>
      <c r="E560" s="14"/>
      <c r="F560" s="15" t="e">
        <f>F561</f>
        <v>#REF!</v>
      </c>
      <c r="G560" s="15">
        <f>G561</f>
        <v>1512.4</v>
      </c>
      <c r="H560" s="15" t="e">
        <f>#REF!-F560</f>
        <v>#REF!</v>
      </c>
    </row>
    <row r="561" spans="1:8" ht="30.75">
      <c r="A561" s="12" t="s">
        <v>263</v>
      </c>
      <c r="B561" s="13" t="s">
        <v>94</v>
      </c>
      <c r="C561" s="13" t="s">
        <v>103</v>
      </c>
      <c r="D561" s="14" t="s">
        <v>262</v>
      </c>
      <c r="E561" s="14"/>
      <c r="F561" s="15" t="e">
        <f>F562+F564+#REF!</f>
        <v>#REF!</v>
      </c>
      <c r="G561" s="15">
        <f>G562+G564</f>
        <v>1512.4</v>
      </c>
      <c r="H561" s="15" t="e">
        <f>#REF!-F561</f>
        <v>#REF!</v>
      </c>
    </row>
    <row r="562" spans="1:8" ht="30.75">
      <c r="A562" s="12" t="s">
        <v>264</v>
      </c>
      <c r="B562" s="13" t="s">
        <v>94</v>
      </c>
      <c r="C562" s="13" t="s">
        <v>103</v>
      </c>
      <c r="D562" s="14" t="s">
        <v>265</v>
      </c>
      <c r="E562" s="14"/>
      <c r="F562" s="15">
        <f>F563</f>
        <v>1050</v>
      </c>
      <c r="G562" s="15">
        <f>G563</f>
        <v>965.1</v>
      </c>
      <c r="H562" s="15" t="e">
        <f>#REF!-F562</f>
        <v>#REF!</v>
      </c>
    </row>
    <row r="563" spans="1:8" ht="15">
      <c r="A563" s="30" t="s">
        <v>197</v>
      </c>
      <c r="B563" s="39" t="s">
        <v>94</v>
      </c>
      <c r="C563" s="39" t="s">
        <v>103</v>
      </c>
      <c r="D563" s="31" t="s">
        <v>265</v>
      </c>
      <c r="E563" s="31" t="s">
        <v>47</v>
      </c>
      <c r="F563" s="32">
        <v>1050</v>
      </c>
      <c r="G563" s="32">
        <v>965.1</v>
      </c>
      <c r="H563" s="32" t="e">
        <f>#REF!-F563</f>
        <v>#REF!</v>
      </c>
    </row>
    <row r="564" spans="1:8" ht="30.75">
      <c r="A564" s="12" t="s">
        <v>267</v>
      </c>
      <c r="B564" s="13" t="s">
        <v>94</v>
      </c>
      <c r="C564" s="13" t="s">
        <v>103</v>
      </c>
      <c r="D564" s="14" t="s">
        <v>266</v>
      </c>
      <c r="E564" s="14"/>
      <c r="F564" s="15">
        <f>F565</f>
        <v>696</v>
      </c>
      <c r="G564" s="15">
        <f>G565</f>
        <v>547.3</v>
      </c>
      <c r="H564" s="15" t="e">
        <f>#REF!-F564</f>
        <v>#REF!</v>
      </c>
    </row>
    <row r="565" spans="1:8" ht="15">
      <c r="A565" s="30" t="s">
        <v>197</v>
      </c>
      <c r="B565" s="39" t="s">
        <v>94</v>
      </c>
      <c r="C565" s="39" t="s">
        <v>103</v>
      </c>
      <c r="D565" s="31" t="s">
        <v>266</v>
      </c>
      <c r="E565" s="31" t="s">
        <v>47</v>
      </c>
      <c r="F565" s="32">
        <v>696</v>
      </c>
      <c r="G565" s="32">
        <v>547.3</v>
      </c>
      <c r="H565" s="32" t="e">
        <f>#REF!-F565</f>
        <v>#REF!</v>
      </c>
    </row>
    <row r="566" spans="1:8" ht="15">
      <c r="A566" s="51" t="s">
        <v>18</v>
      </c>
      <c r="B566" s="198" t="s">
        <v>94</v>
      </c>
      <c r="C566" s="198" t="s">
        <v>103</v>
      </c>
      <c r="D566" s="46" t="s">
        <v>17</v>
      </c>
      <c r="E566" s="47"/>
      <c r="F566" s="76"/>
      <c r="G566" s="48">
        <f>G567+G609</f>
        <v>200512.9</v>
      </c>
      <c r="H566" s="41"/>
    </row>
    <row r="567" spans="1:8" ht="78">
      <c r="A567" s="271" t="s">
        <v>422</v>
      </c>
      <c r="B567" s="66" t="s">
        <v>94</v>
      </c>
      <c r="C567" s="66" t="s">
        <v>103</v>
      </c>
      <c r="D567" s="66" t="s">
        <v>404</v>
      </c>
      <c r="E567" s="188"/>
      <c r="F567" s="221">
        <v>4110.88</v>
      </c>
      <c r="G567" s="143">
        <f>G568+G570+G572+G574+G576+G578+G580+G582+G584+G586+G588+G590+G592+G594+G596+G598+G600+G602+G604</f>
        <v>197192.3</v>
      </c>
      <c r="H567" s="41"/>
    </row>
    <row r="568" spans="1:8" ht="46.5">
      <c r="A568" s="8" t="s">
        <v>481</v>
      </c>
      <c r="B568" s="9" t="s">
        <v>94</v>
      </c>
      <c r="C568" s="9" t="s">
        <v>103</v>
      </c>
      <c r="D568" s="54" t="s">
        <v>482</v>
      </c>
      <c r="E568" s="37"/>
      <c r="F568" s="86"/>
      <c r="G568" s="11">
        <f>G569</f>
        <v>759</v>
      </c>
      <c r="H568" s="41"/>
    </row>
    <row r="569" spans="1:8" ht="15">
      <c r="A569" s="30" t="s">
        <v>197</v>
      </c>
      <c r="B569" s="39" t="s">
        <v>94</v>
      </c>
      <c r="C569" s="39" t="s">
        <v>103</v>
      </c>
      <c r="D569" s="31" t="s">
        <v>482</v>
      </c>
      <c r="E569" s="31" t="s">
        <v>47</v>
      </c>
      <c r="F569" s="32"/>
      <c r="G569" s="32">
        <v>759</v>
      </c>
      <c r="H569" s="41"/>
    </row>
    <row r="570" spans="1:8" ht="30.75" customHeight="1">
      <c r="A570" s="8" t="s">
        <v>483</v>
      </c>
      <c r="B570" s="9" t="s">
        <v>94</v>
      </c>
      <c r="C570" s="9" t="s">
        <v>103</v>
      </c>
      <c r="D570" s="54" t="s">
        <v>484</v>
      </c>
      <c r="E570" s="37"/>
      <c r="F570" s="86"/>
      <c r="G570" s="11">
        <f>G571</f>
        <v>606</v>
      </c>
      <c r="H570" s="41"/>
    </row>
    <row r="571" spans="1:8" ht="15">
      <c r="A571" s="62" t="s">
        <v>197</v>
      </c>
      <c r="B571" s="39" t="s">
        <v>94</v>
      </c>
      <c r="C571" s="39" t="s">
        <v>103</v>
      </c>
      <c r="D571" s="31" t="s">
        <v>484</v>
      </c>
      <c r="E571" s="31" t="s">
        <v>47</v>
      </c>
      <c r="F571" s="32"/>
      <c r="G571" s="32">
        <v>606</v>
      </c>
      <c r="H571" s="41"/>
    </row>
    <row r="572" spans="1:8" ht="15">
      <c r="A572" s="8" t="s">
        <v>486</v>
      </c>
      <c r="B572" s="9" t="s">
        <v>94</v>
      </c>
      <c r="C572" s="9" t="s">
        <v>103</v>
      </c>
      <c r="D572" s="54" t="s">
        <v>485</v>
      </c>
      <c r="E572" s="37"/>
      <c r="F572" s="86"/>
      <c r="G572" s="11">
        <f>G573</f>
        <v>406.6</v>
      </c>
      <c r="H572" s="41"/>
    </row>
    <row r="573" spans="1:8" ht="15">
      <c r="A573" s="62" t="s">
        <v>197</v>
      </c>
      <c r="B573" s="39" t="s">
        <v>94</v>
      </c>
      <c r="C573" s="39" t="s">
        <v>103</v>
      </c>
      <c r="D573" s="31" t="s">
        <v>485</v>
      </c>
      <c r="E573" s="31" t="s">
        <v>47</v>
      </c>
      <c r="F573" s="32"/>
      <c r="G573" s="32">
        <v>406.6</v>
      </c>
      <c r="H573" s="41"/>
    </row>
    <row r="574" spans="1:8" ht="30.75">
      <c r="A574" s="8" t="s">
        <v>214</v>
      </c>
      <c r="B574" s="9" t="s">
        <v>94</v>
      </c>
      <c r="C574" s="9" t="s">
        <v>103</v>
      </c>
      <c r="D574" s="10" t="s">
        <v>487</v>
      </c>
      <c r="E574" s="10"/>
      <c r="F574" s="11">
        <f>F575</f>
        <v>231</v>
      </c>
      <c r="G574" s="11">
        <f>G575</f>
        <v>242</v>
      </c>
      <c r="H574" s="41"/>
    </row>
    <row r="575" spans="1:8" ht="15">
      <c r="A575" s="16" t="s">
        <v>197</v>
      </c>
      <c r="B575" s="17" t="s">
        <v>94</v>
      </c>
      <c r="C575" s="17" t="s">
        <v>103</v>
      </c>
      <c r="D575" s="18" t="s">
        <v>487</v>
      </c>
      <c r="E575" s="18" t="s">
        <v>47</v>
      </c>
      <c r="F575" s="19">
        <v>231</v>
      </c>
      <c r="G575" s="19">
        <v>242</v>
      </c>
      <c r="H575" s="41"/>
    </row>
    <row r="576" spans="1:8" ht="30.75">
      <c r="A576" s="8" t="s">
        <v>215</v>
      </c>
      <c r="B576" s="9" t="s">
        <v>94</v>
      </c>
      <c r="C576" s="9" t="s">
        <v>103</v>
      </c>
      <c r="D576" s="10" t="s">
        <v>488</v>
      </c>
      <c r="E576" s="10"/>
      <c r="F576" s="11">
        <f>F577</f>
        <v>3233</v>
      </c>
      <c r="G576" s="11">
        <f>G577</f>
        <v>9512</v>
      </c>
      <c r="H576" s="41"/>
    </row>
    <row r="577" spans="1:8" ht="15">
      <c r="A577" s="16" t="s">
        <v>197</v>
      </c>
      <c r="B577" s="17" t="s">
        <v>94</v>
      </c>
      <c r="C577" s="17" t="s">
        <v>103</v>
      </c>
      <c r="D577" s="18" t="s">
        <v>488</v>
      </c>
      <c r="E577" s="18" t="s">
        <v>47</v>
      </c>
      <c r="F577" s="19">
        <f>2763+470</f>
        <v>3233</v>
      </c>
      <c r="G577" s="19">
        <v>9512</v>
      </c>
      <c r="H577" s="41"/>
    </row>
    <row r="578" spans="1:8" ht="30.75">
      <c r="A578" s="8" t="s">
        <v>240</v>
      </c>
      <c r="B578" s="9" t="s">
        <v>94</v>
      </c>
      <c r="C578" s="9" t="s">
        <v>103</v>
      </c>
      <c r="D578" s="10" t="s">
        <v>489</v>
      </c>
      <c r="E578" s="10"/>
      <c r="F578" s="11">
        <f>F579</f>
        <v>9004</v>
      </c>
      <c r="G578" s="11">
        <f>G579</f>
        <v>15205</v>
      </c>
      <c r="H578" s="11" t="e">
        <f>#REF!-#REF!</f>
        <v>#REF!</v>
      </c>
    </row>
    <row r="579" spans="1:8" ht="15">
      <c r="A579" s="16" t="s">
        <v>197</v>
      </c>
      <c r="B579" s="21" t="s">
        <v>94</v>
      </c>
      <c r="C579" s="21" t="s">
        <v>103</v>
      </c>
      <c r="D579" s="18" t="s">
        <v>489</v>
      </c>
      <c r="E579" s="22" t="s">
        <v>47</v>
      </c>
      <c r="F579" s="23">
        <v>9004</v>
      </c>
      <c r="G579" s="23">
        <v>15205</v>
      </c>
      <c r="H579" s="19" t="e">
        <f>#REF!-#REF!</f>
        <v>#REF!</v>
      </c>
    </row>
    <row r="580" spans="1:8" ht="30.75">
      <c r="A580" s="8" t="s">
        <v>216</v>
      </c>
      <c r="B580" s="9" t="s">
        <v>94</v>
      </c>
      <c r="C580" s="9" t="s">
        <v>103</v>
      </c>
      <c r="D580" s="10" t="s">
        <v>490</v>
      </c>
      <c r="E580" s="10"/>
      <c r="F580" s="11">
        <f>F581</f>
        <v>22100</v>
      </c>
      <c r="G580" s="11">
        <f>G581</f>
        <v>26521</v>
      </c>
      <c r="H580" s="11" t="e">
        <f>#REF!-F574</f>
        <v>#REF!</v>
      </c>
    </row>
    <row r="581" spans="1:8" ht="15">
      <c r="A581" s="16" t="s">
        <v>197</v>
      </c>
      <c r="B581" s="17" t="s">
        <v>94</v>
      </c>
      <c r="C581" s="17" t="s">
        <v>103</v>
      </c>
      <c r="D581" s="18" t="s">
        <v>490</v>
      </c>
      <c r="E581" s="18" t="s">
        <v>47</v>
      </c>
      <c r="F581" s="19">
        <f>11315+10785</f>
        <v>22100</v>
      </c>
      <c r="G581" s="19">
        <v>26521</v>
      </c>
      <c r="H581" s="19" t="e">
        <f>#REF!-F575</f>
        <v>#REF!</v>
      </c>
    </row>
    <row r="582" spans="1:8" ht="30.75">
      <c r="A582" s="8" t="s">
        <v>217</v>
      </c>
      <c r="B582" s="9" t="s">
        <v>94</v>
      </c>
      <c r="C582" s="9" t="s">
        <v>103</v>
      </c>
      <c r="D582" s="10" t="s">
        <v>491</v>
      </c>
      <c r="E582" s="10"/>
      <c r="F582" s="11">
        <f>F583</f>
        <v>8800</v>
      </c>
      <c r="G582" s="11">
        <f>G583</f>
        <v>15416</v>
      </c>
      <c r="H582" s="11" t="e">
        <f>#REF!-F576</f>
        <v>#REF!</v>
      </c>
    </row>
    <row r="583" spans="1:8" ht="15">
      <c r="A583" s="16" t="s">
        <v>197</v>
      </c>
      <c r="B583" s="17" t="s">
        <v>94</v>
      </c>
      <c r="C583" s="17" t="s">
        <v>103</v>
      </c>
      <c r="D583" s="18" t="s">
        <v>491</v>
      </c>
      <c r="E583" s="18" t="s">
        <v>47</v>
      </c>
      <c r="F583" s="19">
        <v>8800</v>
      </c>
      <c r="G583" s="19">
        <v>15416</v>
      </c>
      <c r="H583" s="19" t="e">
        <f>#REF!-F577</f>
        <v>#REF!</v>
      </c>
    </row>
    <row r="584" spans="1:8" ht="30.75">
      <c r="A584" s="8" t="s">
        <v>218</v>
      </c>
      <c r="B584" s="9" t="s">
        <v>94</v>
      </c>
      <c r="C584" s="9" t="s">
        <v>103</v>
      </c>
      <c r="D584" s="10" t="s">
        <v>492</v>
      </c>
      <c r="E584" s="10"/>
      <c r="F584" s="11">
        <f>F585</f>
        <v>616</v>
      </c>
      <c r="G584" s="11">
        <f>G585</f>
        <v>1004.3</v>
      </c>
      <c r="H584" s="11" t="e">
        <f>#REF!-F584</f>
        <v>#REF!</v>
      </c>
    </row>
    <row r="585" spans="1:8" ht="15">
      <c r="A585" s="16" t="s">
        <v>197</v>
      </c>
      <c r="B585" s="17" t="s">
        <v>94</v>
      </c>
      <c r="C585" s="17" t="s">
        <v>103</v>
      </c>
      <c r="D585" s="18" t="s">
        <v>492</v>
      </c>
      <c r="E585" s="18" t="s">
        <v>47</v>
      </c>
      <c r="F585" s="19">
        <v>616</v>
      </c>
      <c r="G585" s="19">
        <v>1004.3</v>
      </c>
      <c r="H585" s="19" t="e">
        <f>#REF!-F585</f>
        <v>#REF!</v>
      </c>
    </row>
    <row r="586" spans="1:8" ht="30.75">
      <c r="A586" s="8" t="s">
        <v>219</v>
      </c>
      <c r="B586" s="9" t="s">
        <v>94</v>
      </c>
      <c r="C586" s="9" t="s">
        <v>103</v>
      </c>
      <c r="D586" s="10" t="s">
        <v>493</v>
      </c>
      <c r="E586" s="10"/>
      <c r="F586" s="11">
        <f>F587</f>
        <v>300</v>
      </c>
      <c r="G586" s="11">
        <f>G587</f>
        <v>458.7</v>
      </c>
      <c r="H586" s="11" t="e">
        <f>#REF!-F586</f>
        <v>#REF!</v>
      </c>
    </row>
    <row r="587" spans="1:8" ht="15">
      <c r="A587" s="16" t="s">
        <v>197</v>
      </c>
      <c r="B587" s="17" t="s">
        <v>94</v>
      </c>
      <c r="C587" s="17" t="s">
        <v>103</v>
      </c>
      <c r="D587" s="18" t="s">
        <v>493</v>
      </c>
      <c r="E587" s="18" t="s">
        <v>47</v>
      </c>
      <c r="F587" s="19">
        <v>300</v>
      </c>
      <c r="G587" s="19">
        <v>458.7</v>
      </c>
      <c r="H587" s="19" t="e">
        <f>#REF!-F587</f>
        <v>#REF!</v>
      </c>
    </row>
    <row r="588" spans="1:8" ht="46.5">
      <c r="A588" s="8" t="s">
        <v>222</v>
      </c>
      <c r="B588" s="9" t="s">
        <v>94</v>
      </c>
      <c r="C588" s="9" t="s">
        <v>103</v>
      </c>
      <c r="D588" s="10" t="s">
        <v>494</v>
      </c>
      <c r="E588" s="10"/>
      <c r="F588" s="11">
        <f>F589</f>
        <v>2413</v>
      </c>
      <c r="G588" s="11">
        <f>G589</f>
        <v>2211.7</v>
      </c>
      <c r="H588" s="11" t="e">
        <f>#REF!-F580</f>
        <v>#REF!</v>
      </c>
    </row>
    <row r="589" spans="1:8" ht="15">
      <c r="A589" s="16" t="s">
        <v>197</v>
      </c>
      <c r="B589" s="17" t="s">
        <v>94</v>
      </c>
      <c r="C589" s="17" t="s">
        <v>103</v>
      </c>
      <c r="D589" s="18" t="s">
        <v>494</v>
      </c>
      <c r="E589" s="18" t="s">
        <v>47</v>
      </c>
      <c r="F589" s="19">
        <v>2413</v>
      </c>
      <c r="G589" s="19">
        <v>2211.7</v>
      </c>
      <c r="H589" s="19" t="e">
        <f>#REF!-F581</f>
        <v>#REF!</v>
      </c>
    </row>
    <row r="590" spans="1:8" ht="124.5">
      <c r="A590" s="83" t="s">
        <v>426</v>
      </c>
      <c r="B590" s="9" t="s">
        <v>94</v>
      </c>
      <c r="C590" s="9" t="s">
        <v>103</v>
      </c>
      <c r="D590" s="10" t="s">
        <v>495</v>
      </c>
      <c r="E590" s="10"/>
      <c r="F590" s="11">
        <f>F591</f>
        <v>50</v>
      </c>
      <c r="G590" s="11">
        <f>G591</f>
        <v>25.1</v>
      </c>
      <c r="H590" s="11" t="e">
        <f>#REF!-F588</f>
        <v>#REF!</v>
      </c>
    </row>
    <row r="591" spans="1:8" ht="15">
      <c r="A591" s="16" t="s">
        <v>197</v>
      </c>
      <c r="B591" s="21" t="s">
        <v>94</v>
      </c>
      <c r="C591" s="21" t="s">
        <v>103</v>
      </c>
      <c r="D591" s="18" t="s">
        <v>495</v>
      </c>
      <c r="E591" s="22" t="s">
        <v>47</v>
      </c>
      <c r="F591" s="23">
        <v>50</v>
      </c>
      <c r="G591" s="23">
        <v>25.1</v>
      </c>
      <c r="H591" s="19" t="e">
        <f>#REF!-F589</f>
        <v>#REF!</v>
      </c>
    </row>
    <row r="592" spans="1:8" ht="216" customHeight="1">
      <c r="A592" s="201" t="s">
        <v>419</v>
      </c>
      <c r="B592" s="9" t="s">
        <v>94</v>
      </c>
      <c r="C592" s="9" t="s">
        <v>103</v>
      </c>
      <c r="D592" s="10" t="s">
        <v>496</v>
      </c>
      <c r="E592" s="10"/>
      <c r="F592" s="11">
        <f>F593</f>
        <v>50</v>
      </c>
      <c r="G592" s="11">
        <f>G593</f>
        <v>823.2</v>
      </c>
      <c r="H592" s="11" t="e">
        <f>#REF!-F578</f>
        <v>#REF!</v>
      </c>
    </row>
    <row r="593" spans="1:8" ht="15">
      <c r="A593" s="16" t="s">
        <v>197</v>
      </c>
      <c r="B593" s="21" t="s">
        <v>94</v>
      </c>
      <c r="C593" s="21" t="s">
        <v>103</v>
      </c>
      <c r="D593" s="18" t="s">
        <v>496</v>
      </c>
      <c r="E593" s="22" t="s">
        <v>47</v>
      </c>
      <c r="F593" s="23">
        <v>50</v>
      </c>
      <c r="G593" s="23">
        <v>823.2</v>
      </c>
      <c r="H593" s="23" t="e">
        <f>#REF!-F579</f>
        <v>#REF!</v>
      </c>
    </row>
    <row r="594" spans="1:8" ht="93">
      <c r="A594" s="83" t="s">
        <v>424</v>
      </c>
      <c r="B594" s="9" t="s">
        <v>94</v>
      </c>
      <c r="C594" s="9" t="s">
        <v>103</v>
      </c>
      <c r="D594" s="10" t="s">
        <v>497</v>
      </c>
      <c r="E594" s="10"/>
      <c r="F594" s="11">
        <f>F595</f>
        <v>726.5</v>
      </c>
      <c r="G594" s="11">
        <f>G595</f>
        <v>703.1</v>
      </c>
      <c r="H594" s="23"/>
    </row>
    <row r="595" spans="1:8" ht="15">
      <c r="A595" s="16" t="s">
        <v>197</v>
      </c>
      <c r="B595" s="17" t="s">
        <v>94</v>
      </c>
      <c r="C595" s="17" t="s">
        <v>103</v>
      </c>
      <c r="D595" s="18" t="s">
        <v>497</v>
      </c>
      <c r="E595" s="18" t="s">
        <v>47</v>
      </c>
      <c r="F595" s="19">
        <f>739.6-13.1</f>
        <v>726.5</v>
      </c>
      <c r="G595" s="19">
        <v>703.1</v>
      </c>
      <c r="H595" s="23"/>
    </row>
    <row r="596" spans="1:8" ht="15">
      <c r="A596" s="8" t="s">
        <v>204</v>
      </c>
      <c r="B596" s="9" t="s">
        <v>94</v>
      </c>
      <c r="C596" s="9" t="s">
        <v>103</v>
      </c>
      <c r="D596" s="10" t="s">
        <v>498</v>
      </c>
      <c r="E596" s="10"/>
      <c r="F596" s="11">
        <f>F597</f>
        <v>5600</v>
      </c>
      <c r="G596" s="11">
        <f>G597</f>
        <v>5335</v>
      </c>
      <c r="H596" s="23"/>
    </row>
    <row r="597" spans="1:8" ht="15">
      <c r="A597" s="16" t="s">
        <v>197</v>
      </c>
      <c r="B597" s="17" t="s">
        <v>94</v>
      </c>
      <c r="C597" s="17" t="s">
        <v>103</v>
      </c>
      <c r="D597" s="18" t="s">
        <v>498</v>
      </c>
      <c r="E597" s="18" t="s">
        <v>47</v>
      </c>
      <c r="F597" s="19">
        <v>5600</v>
      </c>
      <c r="G597" s="19">
        <f>4923+412</f>
        <v>5335</v>
      </c>
      <c r="H597" s="23"/>
    </row>
    <row r="598" spans="1:8" ht="30.75">
      <c r="A598" s="8" t="s">
        <v>259</v>
      </c>
      <c r="B598" s="9" t="s">
        <v>94</v>
      </c>
      <c r="C598" s="9" t="s">
        <v>103</v>
      </c>
      <c r="D598" s="10" t="s">
        <v>499</v>
      </c>
      <c r="E598" s="10"/>
      <c r="F598" s="11">
        <f>F599</f>
        <v>37172</v>
      </c>
      <c r="G598" s="11">
        <f>G599</f>
        <v>34284.7</v>
      </c>
      <c r="H598" s="23"/>
    </row>
    <row r="599" spans="1:8" ht="15">
      <c r="A599" s="16" t="s">
        <v>197</v>
      </c>
      <c r="B599" s="17" t="s">
        <v>94</v>
      </c>
      <c r="C599" s="17" t="s">
        <v>103</v>
      </c>
      <c r="D599" s="18" t="s">
        <v>499</v>
      </c>
      <c r="E599" s="18" t="s">
        <v>47</v>
      </c>
      <c r="F599" s="19">
        <v>37172</v>
      </c>
      <c r="G599" s="19">
        <v>34284.7</v>
      </c>
      <c r="H599" s="23"/>
    </row>
    <row r="600" spans="1:8" ht="30.75">
      <c r="A600" s="8" t="s">
        <v>260</v>
      </c>
      <c r="B600" s="9" t="s">
        <v>94</v>
      </c>
      <c r="C600" s="9" t="s">
        <v>103</v>
      </c>
      <c r="D600" s="10" t="s">
        <v>500</v>
      </c>
      <c r="E600" s="10"/>
      <c r="F600" s="11">
        <f>F601</f>
        <v>44700</v>
      </c>
      <c r="G600" s="11">
        <f>G601</f>
        <v>65308.1</v>
      </c>
      <c r="H600" s="23"/>
    </row>
    <row r="601" spans="1:8" ht="15">
      <c r="A601" s="16" t="s">
        <v>197</v>
      </c>
      <c r="B601" s="17" t="s">
        <v>94</v>
      </c>
      <c r="C601" s="17" t="s">
        <v>103</v>
      </c>
      <c r="D601" s="18" t="s">
        <v>500</v>
      </c>
      <c r="E601" s="18" t="s">
        <v>47</v>
      </c>
      <c r="F601" s="19">
        <v>44700</v>
      </c>
      <c r="G601" s="19">
        <v>65308.1</v>
      </c>
      <c r="H601" s="23"/>
    </row>
    <row r="602" spans="1:8" ht="30.75">
      <c r="A602" s="8" t="s">
        <v>261</v>
      </c>
      <c r="B602" s="9" t="s">
        <v>94</v>
      </c>
      <c r="C602" s="9" t="s">
        <v>103</v>
      </c>
      <c r="D602" s="10" t="s">
        <v>501</v>
      </c>
      <c r="E602" s="10"/>
      <c r="F602" s="11">
        <f>F603</f>
        <v>252</v>
      </c>
      <c r="G602" s="11">
        <f>G603</f>
        <v>103.3</v>
      </c>
      <c r="H602" s="23"/>
    </row>
    <row r="603" spans="1:8" ht="15">
      <c r="A603" s="30" t="s">
        <v>197</v>
      </c>
      <c r="B603" s="165" t="s">
        <v>94</v>
      </c>
      <c r="C603" s="165" t="s">
        <v>103</v>
      </c>
      <c r="D603" s="31" t="s">
        <v>501</v>
      </c>
      <c r="E603" s="40" t="s">
        <v>47</v>
      </c>
      <c r="F603" s="63">
        <v>252</v>
      </c>
      <c r="G603" s="63">
        <v>103.3</v>
      </c>
      <c r="H603" s="23"/>
    </row>
    <row r="604" spans="1:8" ht="30.75">
      <c r="A604" s="51" t="s">
        <v>238</v>
      </c>
      <c r="B604" s="45" t="s">
        <v>94</v>
      </c>
      <c r="C604" s="45" t="s">
        <v>103</v>
      </c>
      <c r="D604" s="46" t="s">
        <v>502</v>
      </c>
      <c r="E604" s="47"/>
      <c r="F604" s="76"/>
      <c r="G604" s="48">
        <f>G605+G606+G607+G608</f>
        <v>18267.5</v>
      </c>
      <c r="H604" s="23"/>
    </row>
    <row r="605" spans="1:8" ht="15">
      <c r="A605" s="20" t="s">
        <v>553</v>
      </c>
      <c r="B605" s="21" t="s">
        <v>94</v>
      </c>
      <c r="C605" s="21" t="s">
        <v>103</v>
      </c>
      <c r="D605" s="22" t="s">
        <v>502</v>
      </c>
      <c r="E605" s="22" t="s">
        <v>147</v>
      </c>
      <c r="F605" s="23"/>
      <c r="G605" s="23">
        <v>5390.6</v>
      </c>
      <c r="H605" s="23"/>
    </row>
    <row r="606" spans="1:8" ht="30">
      <c r="A606" s="20" t="s">
        <v>311</v>
      </c>
      <c r="B606" s="17" t="s">
        <v>94</v>
      </c>
      <c r="C606" s="17" t="s">
        <v>103</v>
      </c>
      <c r="D606" s="18" t="s">
        <v>502</v>
      </c>
      <c r="E606" s="18" t="s">
        <v>312</v>
      </c>
      <c r="F606" s="23"/>
      <c r="G606" s="64">
        <v>7041.1</v>
      </c>
      <c r="H606" s="23"/>
    </row>
    <row r="607" spans="1:8" ht="15">
      <c r="A607" s="20" t="s">
        <v>197</v>
      </c>
      <c r="B607" s="17" t="s">
        <v>94</v>
      </c>
      <c r="C607" s="17" t="s">
        <v>103</v>
      </c>
      <c r="D607" s="18" t="s">
        <v>502</v>
      </c>
      <c r="E607" s="18" t="s">
        <v>47</v>
      </c>
      <c r="F607" s="23"/>
      <c r="G607" s="64">
        <v>349.4</v>
      </c>
      <c r="H607" s="11" t="e">
        <f>#REF!-F607</f>
        <v>#REF!</v>
      </c>
    </row>
    <row r="608" spans="1:8" ht="15">
      <c r="A608" s="30" t="s">
        <v>314</v>
      </c>
      <c r="B608" s="39" t="s">
        <v>94</v>
      </c>
      <c r="C608" s="39" t="s">
        <v>103</v>
      </c>
      <c r="D608" s="18" t="s">
        <v>502</v>
      </c>
      <c r="E608" s="31" t="s">
        <v>313</v>
      </c>
      <c r="F608" s="32">
        <v>16221</v>
      </c>
      <c r="G608" s="150">
        <v>5486.4</v>
      </c>
      <c r="H608" s="23" t="e">
        <f>#REF!-F608</f>
        <v>#REF!</v>
      </c>
    </row>
    <row r="609" spans="1:8" ht="15">
      <c r="A609" s="12" t="s">
        <v>16</v>
      </c>
      <c r="B609" s="13" t="s">
        <v>94</v>
      </c>
      <c r="C609" s="13" t="s">
        <v>103</v>
      </c>
      <c r="D609" s="14" t="s">
        <v>15</v>
      </c>
      <c r="E609" s="14"/>
      <c r="F609" s="15"/>
      <c r="G609" s="15">
        <f>G610</f>
        <v>3320.6</v>
      </c>
      <c r="H609" s="23"/>
    </row>
    <row r="610" spans="1:8" ht="30.75">
      <c r="A610" s="8" t="s">
        <v>13</v>
      </c>
      <c r="B610" s="54" t="s">
        <v>94</v>
      </c>
      <c r="C610" s="9" t="s">
        <v>103</v>
      </c>
      <c r="D610" s="10" t="s">
        <v>14</v>
      </c>
      <c r="E610" s="10"/>
      <c r="F610" s="11"/>
      <c r="G610" s="11">
        <f>G611</f>
        <v>3320.6</v>
      </c>
      <c r="H610" s="23"/>
    </row>
    <row r="611" spans="1:8" ht="15">
      <c r="A611" s="16" t="s">
        <v>249</v>
      </c>
      <c r="B611" s="52" t="s">
        <v>94</v>
      </c>
      <c r="C611" s="17" t="s">
        <v>103</v>
      </c>
      <c r="D611" s="18" t="s">
        <v>14</v>
      </c>
      <c r="E611" s="18" t="s">
        <v>556</v>
      </c>
      <c r="F611" s="19"/>
      <c r="G611" s="19">
        <v>3320.6</v>
      </c>
      <c r="H611" s="23"/>
    </row>
    <row r="612" spans="1:8" ht="15">
      <c r="A612" s="51" t="s">
        <v>247</v>
      </c>
      <c r="B612" s="45" t="s">
        <v>94</v>
      </c>
      <c r="C612" s="45" t="s">
        <v>103</v>
      </c>
      <c r="D612" s="46" t="s">
        <v>248</v>
      </c>
      <c r="E612" s="46"/>
      <c r="F612" s="48" t="e">
        <f>F623+F621+#REF!+#REF!</f>
        <v>#REF!</v>
      </c>
      <c r="G612" s="48">
        <f>G623+G621+G613+G619+G615+G617</f>
        <v>33649.4</v>
      </c>
      <c r="H612" s="11" t="e">
        <f>#REF!-F612</f>
        <v>#REF!</v>
      </c>
    </row>
    <row r="613" spans="1:8" ht="15">
      <c r="A613" s="33" t="s">
        <v>371</v>
      </c>
      <c r="B613" s="135" t="s">
        <v>94</v>
      </c>
      <c r="C613" s="135" t="s">
        <v>103</v>
      </c>
      <c r="D613" s="6" t="s">
        <v>372</v>
      </c>
      <c r="E613" s="22"/>
      <c r="F613" s="7"/>
      <c r="G613" s="7">
        <f>G614</f>
        <v>771.5</v>
      </c>
      <c r="H613" s="11"/>
    </row>
    <row r="614" spans="1:8" ht="15">
      <c r="A614" s="30" t="s">
        <v>564</v>
      </c>
      <c r="B614" s="39" t="s">
        <v>94</v>
      </c>
      <c r="C614" s="39" t="s">
        <v>103</v>
      </c>
      <c r="D614" s="31" t="s">
        <v>372</v>
      </c>
      <c r="E614" s="31" t="s">
        <v>563</v>
      </c>
      <c r="F614" s="164"/>
      <c r="G614" s="32">
        <v>771.5</v>
      </c>
      <c r="H614" s="11"/>
    </row>
    <row r="615" spans="1:8" ht="46.5">
      <c r="A615" s="36" t="s">
        <v>453</v>
      </c>
      <c r="B615" s="54" t="s">
        <v>94</v>
      </c>
      <c r="C615" s="10" t="s">
        <v>103</v>
      </c>
      <c r="D615" s="10" t="s">
        <v>451</v>
      </c>
      <c r="E615" s="37"/>
      <c r="F615" s="72"/>
      <c r="G615" s="11">
        <f>G616</f>
        <v>16031.4</v>
      </c>
      <c r="H615" s="11"/>
    </row>
    <row r="616" spans="1:8" ht="15">
      <c r="A616" s="30" t="s">
        <v>564</v>
      </c>
      <c r="B616" s="31" t="s">
        <v>94</v>
      </c>
      <c r="C616" s="31" t="s">
        <v>103</v>
      </c>
      <c r="D616" s="31" t="s">
        <v>451</v>
      </c>
      <c r="E616" s="31" t="s">
        <v>563</v>
      </c>
      <c r="F616" s="72"/>
      <c r="G616" s="41">
        <v>16031.4</v>
      </c>
      <c r="H616" s="11"/>
    </row>
    <row r="617" spans="1:8" ht="62.25">
      <c r="A617" s="36" t="s">
        <v>454</v>
      </c>
      <c r="B617" s="54" t="s">
        <v>94</v>
      </c>
      <c r="C617" s="10" t="s">
        <v>103</v>
      </c>
      <c r="D617" s="10" t="s">
        <v>452</v>
      </c>
      <c r="E617" s="37"/>
      <c r="F617" s="72"/>
      <c r="G617" s="11">
        <f>G618</f>
        <v>9140</v>
      </c>
      <c r="H617" s="11"/>
    </row>
    <row r="618" spans="1:8" ht="15">
      <c r="A618" s="30" t="s">
        <v>564</v>
      </c>
      <c r="B618" s="31" t="s">
        <v>94</v>
      </c>
      <c r="C618" s="31" t="s">
        <v>103</v>
      </c>
      <c r="D618" s="31" t="s">
        <v>452</v>
      </c>
      <c r="E618" s="31" t="s">
        <v>563</v>
      </c>
      <c r="F618" s="72"/>
      <c r="G618" s="41">
        <v>9140</v>
      </c>
      <c r="H618" s="11"/>
    </row>
    <row r="619" spans="1:8" ht="46.5">
      <c r="A619" s="36" t="s">
        <v>379</v>
      </c>
      <c r="B619" s="54" t="s">
        <v>94</v>
      </c>
      <c r="C619" s="10" t="s">
        <v>103</v>
      </c>
      <c r="D619" s="10" t="s">
        <v>380</v>
      </c>
      <c r="E619" s="37"/>
      <c r="F619" s="72"/>
      <c r="G619" s="11">
        <f>G620</f>
        <v>7203.2</v>
      </c>
      <c r="H619" s="11"/>
    </row>
    <row r="620" spans="1:8" ht="15">
      <c r="A620" s="30" t="s">
        <v>564</v>
      </c>
      <c r="B620" s="31" t="s">
        <v>94</v>
      </c>
      <c r="C620" s="31" t="s">
        <v>103</v>
      </c>
      <c r="D620" s="31" t="s">
        <v>380</v>
      </c>
      <c r="E620" s="31" t="s">
        <v>563</v>
      </c>
      <c r="F620" s="72"/>
      <c r="G620" s="41">
        <f>1769+63.5+5370.7</f>
        <v>7203.2</v>
      </c>
      <c r="H620" s="11"/>
    </row>
    <row r="621" spans="1:8" ht="30.75">
      <c r="A621" s="36" t="s">
        <v>319</v>
      </c>
      <c r="B621" s="54" t="s">
        <v>94</v>
      </c>
      <c r="C621" s="10" t="s">
        <v>103</v>
      </c>
      <c r="D621" s="10" t="s">
        <v>318</v>
      </c>
      <c r="E621" s="37"/>
      <c r="F621" s="37"/>
      <c r="G621" s="114">
        <f>G622</f>
        <v>400.8</v>
      </c>
      <c r="H621" s="11" t="e">
        <f>#REF!-F621</f>
        <v>#REF!</v>
      </c>
    </row>
    <row r="622" spans="1:8" ht="15">
      <c r="A622" s="20" t="s">
        <v>320</v>
      </c>
      <c r="B622" s="31" t="s">
        <v>94</v>
      </c>
      <c r="C622" s="31" t="s">
        <v>103</v>
      </c>
      <c r="D622" s="31" t="s">
        <v>318</v>
      </c>
      <c r="E622" s="31" t="s">
        <v>317</v>
      </c>
      <c r="F622" s="31" t="s">
        <v>321</v>
      </c>
      <c r="G622" s="115">
        <v>400.8</v>
      </c>
      <c r="H622" s="19" t="e">
        <f>#REF!-F622</f>
        <v>#REF!</v>
      </c>
    </row>
    <row r="623" spans="1:8" ht="30.75">
      <c r="A623" s="8" t="s">
        <v>322</v>
      </c>
      <c r="B623" s="135" t="s">
        <v>94</v>
      </c>
      <c r="C623" s="135" t="s">
        <v>103</v>
      </c>
      <c r="D623" s="10" t="s">
        <v>323</v>
      </c>
      <c r="E623" s="22"/>
      <c r="F623" s="67"/>
      <c r="G623" s="136">
        <f>G624</f>
        <v>102.5</v>
      </c>
      <c r="H623" s="11" t="e">
        <f>#REF!-F623</f>
        <v>#REF!</v>
      </c>
    </row>
    <row r="624" spans="1:8" ht="15">
      <c r="A624" s="20" t="s">
        <v>320</v>
      </c>
      <c r="B624" s="21" t="s">
        <v>94</v>
      </c>
      <c r="C624" s="21" t="s">
        <v>103</v>
      </c>
      <c r="D624" s="22" t="s">
        <v>323</v>
      </c>
      <c r="E624" s="22" t="s">
        <v>317</v>
      </c>
      <c r="F624" s="67"/>
      <c r="G624" s="137">
        <f>102.9-0.4</f>
        <v>102.5</v>
      </c>
      <c r="H624" s="19" t="e">
        <f>#REF!-F624</f>
        <v>#REF!</v>
      </c>
    </row>
    <row r="625" spans="1:8" ht="15">
      <c r="A625" s="8" t="s">
        <v>113</v>
      </c>
      <c r="B625" s="9" t="s">
        <v>94</v>
      </c>
      <c r="C625" s="9" t="s">
        <v>103</v>
      </c>
      <c r="D625" s="10" t="s">
        <v>157</v>
      </c>
      <c r="E625" s="10" t="s">
        <v>43</v>
      </c>
      <c r="F625" s="11" t="e">
        <f>#REF!+F626+F633+#REF!+F641</f>
        <v>#REF!</v>
      </c>
      <c r="G625" s="11">
        <f>G626+G633+G641+G636+G639</f>
        <v>9854</v>
      </c>
      <c r="H625" s="111" t="e">
        <f>#REF!-F625</f>
        <v>#REF!</v>
      </c>
    </row>
    <row r="626" spans="1:8" ht="30.75">
      <c r="A626" s="8" t="s">
        <v>272</v>
      </c>
      <c r="B626" s="9" t="s">
        <v>94</v>
      </c>
      <c r="C626" s="9" t="s">
        <v>103</v>
      </c>
      <c r="D626" s="10" t="s">
        <v>213</v>
      </c>
      <c r="E626" s="10"/>
      <c r="F626" s="11">
        <f>F627+F629+F631</f>
        <v>3162.5</v>
      </c>
      <c r="G626" s="11">
        <f>G627+G629+G631</f>
        <v>771</v>
      </c>
      <c r="H626" s="111" t="e">
        <f>#REF!-F626</f>
        <v>#REF!</v>
      </c>
    </row>
    <row r="627" spans="1:8" ht="15">
      <c r="A627" s="8" t="s">
        <v>229</v>
      </c>
      <c r="B627" s="9" t="s">
        <v>94</v>
      </c>
      <c r="C627" s="9" t="s">
        <v>103</v>
      </c>
      <c r="D627" s="10" t="s">
        <v>231</v>
      </c>
      <c r="E627" s="10" t="s">
        <v>43</v>
      </c>
      <c r="F627" s="11">
        <f>F628</f>
        <v>2378.9</v>
      </c>
      <c r="G627" s="11">
        <f>G628</f>
        <v>380</v>
      </c>
      <c r="H627" s="111" t="e">
        <f>#REF!-F627</f>
        <v>#REF!</v>
      </c>
    </row>
    <row r="628" spans="1:8" ht="15">
      <c r="A628" s="16" t="s">
        <v>251</v>
      </c>
      <c r="B628" s="17" t="s">
        <v>94</v>
      </c>
      <c r="C628" s="17" t="s">
        <v>103</v>
      </c>
      <c r="D628" s="18" t="s">
        <v>231</v>
      </c>
      <c r="E628" s="18" t="s">
        <v>131</v>
      </c>
      <c r="F628" s="19">
        <v>2378.9</v>
      </c>
      <c r="G628" s="19">
        <v>380</v>
      </c>
      <c r="H628" s="113" t="e">
        <f>#REF!-F628</f>
        <v>#REF!</v>
      </c>
    </row>
    <row r="629" spans="1:8" ht="15">
      <c r="A629" s="8" t="s">
        <v>230</v>
      </c>
      <c r="B629" s="9" t="s">
        <v>94</v>
      </c>
      <c r="C629" s="9" t="s">
        <v>103</v>
      </c>
      <c r="D629" s="10" t="s">
        <v>232</v>
      </c>
      <c r="E629" s="10" t="s">
        <v>43</v>
      </c>
      <c r="F629" s="11">
        <f>F630</f>
        <v>738.9</v>
      </c>
      <c r="G629" s="11">
        <f>G630</f>
        <v>338</v>
      </c>
      <c r="H629" s="111" t="e">
        <f>#REF!-F629</f>
        <v>#REF!</v>
      </c>
    </row>
    <row r="630" spans="1:8" ht="15">
      <c r="A630" s="16" t="s">
        <v>251</v>
      </c>
      <c r="B630" s="17" t="s">
        <v>94</v>
      </c>
      <c r="C630" s="17" t="s">
        <v>103</v>
      </c>
      <c r="D630" s="18" t="s">
        <v>232</v>
      </c>
      <c r="E630" s="18" t="s">
        <v>131</v>
      </c>
      <c r="F630" s="19">
        <v>738.9</v>
      </c>
      <c r="G630" s="19">
        <v>338</v>
      </c>
      <c r="H630" s="113" t="e">
        <f>#REF!-F630</f>
        <v>#REF!</v>
      </c>
    </row>
    <row r="631" spans="1:8" ht="46.5">
      <c r="A631" s="8" t="s">
        <v>255</v>
      </c>
      <c r="B631" s="9" t="s">
        <v>94</v>
      </c>
      <c r="C631" s="9" t="s">
        <v>103</v>
      </c>
      <c r="D631" s="10" t="s">
        <v>254</v>
      </c>
      <c r="E631" s="10" t="s">
        <v>43</v>
      </c>
      <c r="F631" s="11">
        <f>F632</f>
        <v>44.7</v>
      </c>
      <c r="G631" s="11">
        <f>G632</f>
        <v>53</v>
      </c>
      <c r="H631" s="111" t="e">
        <f>#REF!-F631</f>
        <v>#REF!</v>
      </c>
    </row>
    <row r="632" spans="1:8" ht="15">
      <c r="A632" s="16" t="s">
        <v>251</v>
      </c>
      <c r="B632" s="17" t="s">
        <v>94</v>
      </c>
      <c r="C632" s="17" t="s">
        <v>103</v>
      </c>
      <c r="D632" s="18" t="s">
        <v>254</v>
      </c>
      <c r="E632" s="18" t="s">
        <v>131</v>
      </c>
      <c r="F632" s="19">
        <v>44.7</v>
      </c>
      <c r="G632" s="19">
        <v>53</v>
      </c>
      <c r="H632" s="113" t="e">
        <f>#REF!-F632</f>
        <v>#REF!</v>
      </c>
    </row>
    <row r="633" spans="1:8" ht="30.75">
      <c r="A633" s="218" t="s">
        <v>565</v>
      </c>
      <c r="B633" s="157" t="s">
        <v>94</v>
      </c>
      <c r="C633" s="157" t="s">
        <v>103</v>
      </c>
      <c r="D633" s="14" t="s">
        <v>558</v>
      </c>
      <c r="E633" s="14" t="s">
        <v>43</v>
      </c>
      <c r="F633" s="15" t="str">
        <f>F635</f>
        <v>000</v>
      </c>
      <c r="G633" s="15">
        <f>G635+G634</f>
        <v>828</v>
      </c>
      <c r="H633" s="111" t="e">
        <f>#REF!-F633</f>
        <v>#REF!</v>
      </c>
    </row>
    <row r="634" spans="1:8" ht="15">
      <c r="A634" s="222" t="s">
        <v>553</v>
      </c>
      <c r="B634" s="37" t="s">
        <v>94</v>
      </c>
      <c r="C634" s="37" t="s">
        <v>103</v>
      </c>
      <c r="D634" s="37" t="s">
        <v>558</v>
      </c>
      <c r="E634" s="37" t="s">
        <v>147</v>
      </c>
      <c r="F634" s="37" t="s">
        <v>592</v>
      </c>
      <c r="G634" s="223">
        <f>285.6+39.7+30</f>
        <v>355.3</v>
      </c>
      <c r="H634" s="112"/>
    </row>
    <row r="635" spans="1:8" ht="15">
      <c r="A635" s="217" t="s">
        <v>251</v>
      </c>
      <c r="B635" s="31" t="s">
        <v>94</v>
      </c>
      <c r="C635" s="31" t="s">
        <v>103</v>
      </c>
      <c r="D635" s="31" t="s">
        <v>558</v>
      </c>
      <c r="E635" s="31" t="s">
        <v>131</v>
      </c>
      <c r="F635" s="31" t="s">
        <v>592</v>
      </c>
      <c r="G635" s="115">
        <f>458.7+44-30</f>
        <v>472.7</v>
      </c>
      <c r="H635" s="113" t="e">
        <f>#REF!-F635</f>
        <v>#REF!</v>
      </c>
    </row>
    <row r="636" spans="1:8" ht="30.75">
      <c r="A636" s="218" t="s">
        <v>28</v>
      </c>
      <c r="B636" s="157" t="s">
        <v>94</v>
      </c>
      <c r="C636" s="14" t="s">
        <v>103</v>
      </c>
      <c r="D636" s="14" t="s">
        <v>29</v>
      </c>
      <c r="E636" s="130"/>
      <c r="F636" s="130"/>
      <c r="G636" s="224">
        <f>G637+G638</f>
        <v>554.8</v>
      </c>
      <c r="H636" s="110"/>
    </row>
    <row r="637" spans="1:8" ht="15">
      <c r="A637" s="222" t="s">
        <v>553</v>
      </c>
      <c r="B637" s="37" t="s">
        <v>94</v>
      </c>
      <c r="C637" s="37" t="s">
        <v>103</v>
      </c>
      <c r="D637" s="37" t="s">
        <v>29</v>
      </c>
      <c r="E637" s="37" t="s">
        <v>147</v>
      </c>
      <c r="F637" s="37" t="s">
        <v>592</v>
      </c>
      <c r="G637" s="223">
        <v>200.4</v>
      </c>
      <c r="H637" s="110"/>
    </row>
    <row r="638" spans="1:8" ht="15">
      <c r="A638" s="217" t="s">
        <v>251</v>
      </c>
      <c r="B638" s="31" t="s">
        <v>94</v>
      </c>
      <c r="C638" s="31" t="s">
        <v>103</v>
      </c>
      <c r="D638" s="31" t="s">
        <v>29</v>
      </c>
      <c r="E638" s="31" t="s">
        <v>131</v>
      </c>
      <c r="F638" s="31" t="s">
        <v>592</v>
      </c>
      <c r="G638" s="115">
        <v>354.4</v>
      </c>
      <c r="H638" s="110"/>
    </row>
    <row r="639" spans="1:8" ht="30.75">
      <c r="A639" s="215" t="s">
        <v>566</v>
      </c>
      <c r="B639" s="54" t="s">
        <v>94</v>
      </c>
      <c r="C639" s="10" t="s">
        <v>103</v>
      </c>
      <c r="D639" s="10" t="s">
        <v>567</v>
      </c>
      <c r="E639" s="37"/>
      <c r="F639" s="37"/>
      <c r="G639" s="126">
        <f>G640</f>
        <v>790</v>
      </c>
      <c r="H639" s="110"/>
    </row>
    <row r="640" spans="1:8" ht="15">
      <c r="A640" s="225" t="s">
        <v>251</v>
      </c>
      <c r="B640" s="40" t="s">
        <v>94</v>
      </c>
      <c r="C640" s="40" t="s">
        <v>103</v>
      </c>
      <c r="D640" s="40" t="s">
        <v>567</v>
      </c>
      <c r="E640" s="40" t="s">
        <v>131</v>
      </c>
      <c r="F640" s="40" t="s">
        <v>592</v>
      </c>
      <c r="G640" s="128">
        <v>790</v>
      </c>
      <c r="H640" s="110"/>
    </row>
    <row r="641" spans="1:8" ht="30.75">
      <c r="A641" s="190" t="s">
        <v>34</v>
      </c>
      <c r="B641" s="66" t="s">
        <v>94</v>
      </c>
      <c r="C641" s="66" t="s">
        <v>103</v>
      </c>
      <c r="D641" s="46" t="s">
        <v>33</v>
      </c>
      <c r="E641" s="46" t="s">
        <v>43</v>
      </c>
      <c r="F641" s="48">
        <f>F643</f>
        <v>3756.8</v>
      </c>
      <c r="G641" s="48">
        <f>G642+G644+G646+G648</f>
        <v>6910.2</v>
      </c>
      <c r="H641" s="23"/>
    </row>
    <row r="642" spans="1:8" ht="46.5">
      <c r="A642" s="226" t="s">
        <v>298</v>
      </c>
      <c r="B642" s="176" t="s">
        <v>94</v>
      </c>
      <c r="C642" s="176" t="s">
        <v>103</v>
      </c>
      <c r="D642" s="6" t="s">
        <v>299</v>
      </c>
      <c r="E642" s="6"/>
      <c r="F642" s="7"/>
      <c r="G642" s="7">
        <f>G643</f>
        <v>1092.7</v>
      </c>
      <c r="H642" s="23"/>
    </row>
    <row r="643" spans="1:8" ht="15">
      <c r="A643" s="217" t="s">
        <v>564</v>
      </c>
      <c r="B643" s="31" t="s">
        <v>94</v>
      </c>
      <c r="C643" s="31" t="s">
        <v>103</v>
      </c>
      <c r="D643" s="31" t="s">
        <v>299</v>
      </c>
      <c r="E643" s="31" t="s">
        <v>563</v>
      </c>
      <c r="F643" s="32">
        <f>1591.3+2165.5</f>
        <v>3756.8</v>
      </c>
      <c r="G643" s="32">
        <v>1092.7</v>
      </c>
      <c r="H643" s="23"/>
    </row>
    <row r="644" spans="1:8" ht="30.75">
      <c r="A644" s="226" t="s">
        <v>537</v>
      </c>
      <c r="B644" s="54" t="s">
        <v>94</v>
      </c>
      <c r="C644" s="54" t="s">
        <v>103</v>
      </c>
      <c r="D644" s="10" t="s">
        <v>300</v>
      </c>
      <c r="E644" s="6"/>
      <c r="F644" s="7"/>
      <c r="G644" s="7">
        <f>G645</f>
        <v>1616.8000000000002</v>
      </c>
      <c r="H644" s="23"/>
    </row>
    <row r="645" spans="1:8" ht="15">
      <c r="A645" s="217" t="s">
        <v>564</v>
      </c>
      <c r="B645" s="31" t="s">
        <v>94</v>
      </c>
      <c r="C645" s="31" t="s">
        <v>103</v>
      </c>
      <c r="D645" s="31" t="s">
        <v>300</v>
      </c>
      <c r="E645" s="31" t="s">
        <v>563</v>
      </c>
      <c r="F645" s="32">
        <f>1591.3+2165.5</f>
        <v>3756.8</v>
      </c>
      <c r="G645" s="32">
        <f>1233.2+383.6</f>
        <v>1616.8000000000002</v>
      </c>
      <c r="H645" s="23"/>
    </row>
    <row r="646" spans="1:8" ht="62.25">
      <c r="A646" s="226" t="s">
        <v>301</v>
      </c>
      <c r="B646" s="54" t="s">
        <v>94</v>
      </c>
      <c r="C646" s="54" t="s">
        <v>103</v>
      </c>
      <c r="D646" s="10" t="s">
        <v>302</v>
      </c>
      <c r="E646" s="6"/>
      <c r="F646" s="7"/>
      <c r="G646" s="7">
        <f>G647</f>
        <v>427</v>
      </c>
      <c r="H646" s="23"/>
    </row>
    <row r="647" spans="1:8" ht="15">
      <c r="A647" s="217" t="s">
        <v>564</v>
      </c>
      <c r="B647" s="31" t="s">
        <v>94</v>
      </c>
      <c r="C647" s="31" t="s">
        <v>103</v>
      </c>
      <c r="D647" s="31" t="s">
        <v>302</v>
      </c>
      <c r="E647" s="31" t="s">
        <v>563</v>
      </c>
      <c r="F647" s="32">
        <f>1591.3+2165.5</f>
        <v>3756.8</v>
      </c>
      <c r="G647" s="32">
        <f>222+205</f>
        <v>427</v>
      </c>
      <c r="H647" s="23"/>
    </row>
    <row r="648" spans="1:8" ht="51" customHeight="1">
      <c r="A648" s="219" t="s">
        <v>303</v>
      </c>
      <c r="B648" s="54" t="s">
        <v>94</v>
      </c>
      <c r="C648" s="54" t="s">
        <v>103</v>
      </c>
      <c r="D648" s="10" t="s">
        <v>304</v>
      </c>
      <c r="E648" s="6"/>
      <c r="F648" s="7"/>
      <c r="G648" s="7">
        <f>G649</f>
        <v>3773.7</v>
      </c>
      <c r="H648" s="23"/>
    </row>
    <row r="649" spans="1:8" ht="15">
      <c r="A649" s="217" t="s">
        <v>564</v>
      </c>
      <c r="B649" s="31" t="s">
        <v>94</v>
      </c>
      <c r="C649" s="31" t="s">
        <v>103</v>
      </c>
      <c r="D649" s="31" t="s">
        <v>304</v>
      </c>
      <c r="E649" s="31" t="s">
        <v>563</v>
      </c>
      <c r="F649" s="32">
        <f>1591.3+2165.5</f>
        <v>3756.8</v>
      </c>
      <c r="G649" s="32">
        <f>3013+760.7</f>
        <v>3773.7</v>
      </c>
      <c r="H649" s="23"/>
    </row>
    <row r="650" spans="1:8" ht="22.5" customHeight="1">
      <c r="A650" s="215" t="s">
        <v>210</v>
      </c>
      <c r="B650" s="54" t="s">
        <v>94</v>
      </c>
      <c r="C650" s="54" t="s">
        <v>105</v>
      </c>
      <c r="D650" s="10"/>
      <c r="E650" s="10"/>
      <c r="F650" s="11" t="e">
        <f>F658</f>
        <v>#REF!</v>
      </c>
      <c r="G650" s="11">
        <f>G651+G658+G664</f>
        <v>42488.9</v>
      </c>
      <c r="H650" s="11" t="e">
        <f>#REF!-F650</f>
        <v>#REF!</v>
      </c>
    </row>
    <row r="651" spans="1:8" ht="22.5" customHeight="1">
      <c r="A651" s="190" t="s">
        <v>198</v>
      </c>
      <c r="B651" s="66" t="s">
        <v>94</v>
      </c>
      <c r="C651" s="66" t="s">
        <v>105</v>
      </c>
      <c r="D651" s="46" t="s">
        <v>199</v>
      </c>
      <c r="E651" s="46"/>
      <c r="F651" s="48" t="e">
        <f>F658+F655</f>
        <v>#REF!</v>
      </c>
      <c r="G651" s="48">
        <f>G652+G655</f>
        <v>15323.3</v>
      </c>
      <c r="H651" s="15"/>
    </row>
    <row r="652" spans="1:8" ht="29.25" customHeight="1">
      <c r="A652" s="190" t="s">
        <v>280</v>
      </c>
      <c r="B652" s="66" t="s">
        <v>94</v>
      </c>
      <c r="C652" s="46" t="s">
        <v>105</v>
      </c>
      <c r="D652" s="46" t="s">
        <v>281</v>
      </c>
      <c r="E652" s="47"/>
      <c r="F652" s="47"/>
      <c r="G652" s="125">
        <f>G653</f>
        <v>280.9</v>
      </c>
      <c r="H652" s="15"/>
    </row>
    <row r="653" spans="1:8" ht="32.25" customHeight="1">
      <c r="A653" s="226" t="s">
        <v>568</v>
      </c>
      <c r="B653" s="54" t="s">
        <v>94</v>
      </c>
      <c r="C653" s="10" t="s">
        <v>105</v>
      </c>
      <c r="D653" s="10" t="s">
        <v>569</v>
      </c>
      <c r="E653" s="37"/>
      <c r="F653" s="37"/>
      <c r="G653" s="126">
        <f>G654</f>
        <v>280.9</v>
      </c>
      <c r="H653" s="15"/>
    </row>
    <row r="654" spans="1:8" ht="20.25" customHeight="1">
      <c r="A654" s="217" t="s">
        <v>197</v>
      </c>
      <c r="B654" s="40" t="s">
        <v>94</v>
      </c>
      <c r="C654" s="40" t="s">
        <v>105</v>
      </c>
      <c r="D654" s="40" t="s">
        <v>569</v>
      </c>
      <c r="E654" s="40" t="s">
        <v>47</v>
      </c>
      <c r="F654" s="40" t="s">
        <v>570</v>
      </c>
      <c r="G654" s="127">
        <v>280.9</v>
      </c>
      <c r="H654" s="15"/>
    </row>
    <row r="655" spans="1:8" ht="49.5" customHeight="1">
      <c r="A655" s="219" t="s">
        <v>534</v>
      </c>
      <c r="B655" s="134" t="s">
        <v>94</v>
      </c>
      <c r="C655" s="134" t="s">
        <v>105</v>
      </c>
      <c r="D655" s="71" t="s">
        <v>503</v>
      </c>
      <c r="E655" s="71"/>
      <c r="F655" s="72">
        <f>F657</f>
        <v>6628.400000000001</v>
      </c>
      <c r="G655" s="72">
        <f>G656</f>
        <v>15042.4</v>
      </c>
      <c r="H655" s="15"/>
    </row>
    <row r="656" spans="1:8" ht="66.75" customHeight="1">
      <c r="A656" s="218" t="s">
        <v>30</v>
      </c>
      <c r="B656" s="157" t="s">
        <v>94</v>
      </c>
      <c r="C656" s="157" t="s">
        <v>105</v>
      </c>
      <c r="D656" s="14" t="s">
        <v>504</v>
      </c>
      <c r="E656" s="14"/>
      <c r="F656" s="15"/>
      <c r="G656" s="15">
        <f>G657</f>
        <v>15042.4</v>
      </c>
      <c r="H656" s="15"/>
    </row>
    <row r="657" spans="1:8" ht="17.25" customHeight="1">
      <c r="A657" s="217" t="s">
        <v>197</v>
      </c>
      <c r="B657" s="31" t="s">
        <v>94</v>
      </c>
      <c r="C657" s="31" t="s">
        <v>105</v>
      </c>
      <c r="D657" s="31" t="s">
        <v>504</v>
      </c>
      <c r="E657" s="31" t="s">
        <v>47</v>
      </c>
      <c r="F657" s="106">
        <f>6517.8+110.6</f>
        <v>6628.400000000001</v>
      </c>
      <c r="G657" s="106">
        <f>1361+9050.9+4630.5</f>
        <v>15042.4</v>
      </c>
      <c r="H657" s="15"/>
    </row>
    <row r="658" spans="1:8" ht="21.75" customHeight="1">
      <c r="A658" s="227" t="s">
        <v>111</v>
      </c>
      <c r="B658" s="78" t="s">
        <v>94</v>
      </c>
      <c r="C658" s="78" t="s">
        <v>105</v>
      </c>
      <c r="D658" s="108" t="s">
        <v>179</v>
      </c>
      <c r="E658" s="108"/>
      <c r="F658" s="109" t="e">
        <f>F659+F666</f>
        <v>#REF!</v>
      </c>
      <c r="G658" s="109">
        <f>G659</f>
        <v>16170.1</v>
      </c>
      <c r="H658" s="48" t="e">
        <f>#REF!-F658</f>
        <v>#REF!</v>
      </c>
    </row>
    <row r="659" spans="1:8" ht="30.75">
      <c r="A659" s="190" t="s">
        <v>224</v>
      </c>
      <c r="B659" s="66" t="s">
        <v>94</v>
      </c>
      <c r="C659" s="66" t="s">
        <v>105</v>
      </c>
      <c r="D659" s="46" t="s">
        <v>211</v>
      </c>
      <c r="E659" s="46"/>
      <c r="F659" s="48" t="e">
        <f>#REF!+F660+F662</f>
        <v>#REF!</v>
      </c>
      <c r="G659" s="48">
        <f>G660+G662</f>
        <v>16170.1</v>
      </c>
      <c r="H659" s="48" t="e">
        <f>#REF!-F659</f>
        <v>#REF!</v>
      </c>
    </row>
    <row r="660" spans="1:8" ht="30.75">
      <c r="A660" s="215" t="s">
        <v>420</v>
      </c>
      <c r="B660" s="54" t="s">
        <v>94</v>
      </c>
      <c r="C660" s="54" t="s">
        <v>105</v>
      </c>
      <c r="D660" s="10" t="s">
        <v>212</v>
      </c>
      <c r="E660" s="10"/>
      <c r="F660" s="11">
        <f>F661</f>
        <v>2541</v>
      </c>
      <c r="G660" s="11">
        <f>G661</f>
        <v>1651.6</v>
      </c>
      <c r="H660" s="11" t="e">
        <f>#REF!-F660</f>
        <v>#REF!</v>
      </c>
    </row>
    <row r="661" spans="1:8" ht="15">
      <c r="A661" s="228" t="s">
        <v>132</v>
      </c>
      <c r="B661" s="18" t="s">
        <v>94</v>
      </c>
      <c r="C661" s="18" t="s">
        <v>105</v>
      </c>
      <c r="D661" s="18" t="s">
        <v>212</v>
      </c>
      <c r="E661" s="18" t="s">
        <v>131</v>
      </c>
      <c r="F661" s="19">
        <v>2541</v>
      </c>
      <c r="G661" s="19">
        <v>1651.6</v>
      </c>
      <c r="H661" s="19" t="e">
        <f>#REF!-F661</f>
        <v>#REF!</v>
      </c>
    </row>
    <row r="662" spans="1:8" ht="30.75">
      <c r="A662" s="215" t="s">
        <v>535</v>
      </c>
      <c r="B662" s="54" t="s">
        <v>94</v>
      </c>
      <c r="C662" s="54" t="s">
        <v>105</v>
      </c>
      <c r="D662" s="10" t="s">
        <v>505</v>
      </c>
      <c r="E662" s="10"/>
      <c r="F662" s="11">
        <f>F663</f>
        <v>14106</v>
      </c>
      <c r="G662" s="11">
        <f>G663</f>
        <v>14518.5</v>
      </c>
      <c r="H662" s="11" t="e">
        <f>#REF!-F662</f>
        <v>#REF!</v>
      </c>
    </row>
    <row r="663" spans="1:8" ht="15">
      <c r="A663" s="217" t="s">
        <v>197</v>
      </c>
      <c r="B663" s="31" t="s">
        <v>94</v>
      </c>
      <c r="C663" s="31" t="s">
        <v>105</v>
      </c>
      <c r="D663" s="31" t="s">
        <v>505</v>
      </c>
      <c r="E663" s="31" t="s">
        <v>47</v>
      </c>
      <c r="F663" s="32">
        <v>14106</v>
      </c>
      <c r="G663" s="32">
        <v>14518.5</v>
      </c>
      <c r="H663" s="19" t="e">
        <f>#REF!-F663</f>
        <v>#REF!</v>
      </c>
    </row>
    <row r="664" spans="1:8" ht="15">
      <c r="A664" s="51" t="s">
        <v>18</v>
      </c>
      <c r="B664" s="46" t="s">
        <v>94</v>
      </c>
      <c r="C664" s="46" t="s">
        <v>105</v>
      </c>
      <c r="D664" s="46" t="s">
        <v>17</v>
      </c>
      <c r="E664" s="47"/>
      <c r="F664" s="76"/>
      <c r="G664" s="48">
        <f>G665</f>
        <v>10995.5</v>
      </c>
      <c r="H664" s="23"/>
    </row>
    <row r="665" spans="1:8" ht="78">
      <c r="A665" s="271" t="s">
        <v>422</v>
      </c>
      <c r="B665" s="66" t="s">
        <v>94</v>
      </c>
      <c r="C665" s="66" t="s">
        <v>105</v>
      </c>
      <c r="D665" s="66" t="s">
        <v>404</v>
      </c>
      <c r="E665" s="188"/>
      <c r="F665" s="221">
        <v>4110.88</v>
      </c>
      <c r="G665" s="143">
        <f>G666</f>
        <v>10995.5</v>
      </c>
      <c r="H665" s="23"/>
    </row>
    <row r="666" spans="1:8" ht="46.5">
      <c r="A666" s="8" t="s">
        <v>536</v>
      </c>
      <c r="B666" s="54" t="s">
        <v>94</v>
      </c>
      <c r="C666" s="54" t="s">
        <v>105</v>
      </c>
      <c r="D666" s="10" t="s">
        <v>467</v>
      </c>
      <c r="E666" s="10"/>
      <c r="F666" s="11">
        <f>F667</f>
        <v>6628.400000000001</v>
      </c>
      <c r="G666" s="11">
        <f>G667</f>
        <v>10995.5</v>
      </c>
      <c r="H666" s="23"/>
    </row>
    <row r="667" spans="1:8" ht="15">
      <c r="A667" s="228" t="s">
        <v>197</v>
      </c>
      <c r="B667" s="18" t="s">
        <v>94</v>
      </c>
      <c r="C667" s="18" t="s">
        <v>105</v>
      </c>
      <c r="D667" s="18" t="s">
        <v>467</v>
      </c>
      <c r="E667" s="18" t="s">
        <v>47</v>
      </c>
      <c r="F667" s="87">
        <f>6517.8+110.6</f>
        <v>6628.400000000001</v>
      </c>
      <c r="G667" s="87">
        <f>6937.4+4058.1</f>
        <v>10995.5</v>
      </c>
      <c r="H667" s="23"/>
    </row>
    <row r="668" spans="1:8" ht="15">
      <c r="A668" s="51" t="s">
        <v>107</v>
      </c>
      <c r="B668" s="54" t="s">
        <v>94</v>
      </c>
      <c r="C668" s="54" t="s">
        <v>106</v>
      </c>
      <c r="D668" s="10"/>
      <c r="E668" s="10" t="s">
        <v>43</v>
      </c>
      <c r="F668" s="11" t="e">
        <f>F673+#REF!</f>
        <v>#REF!</v>
      </c>
      <c r="G668" s="11">
        <f>G673+G669</f>
        <v>16861</v>
      </c>
      <c r="H668" s="11" t="e">
        <f>#REF!-F668</f>
        <v>#REF!</v>
      </c>
    </row>
    <row r="669" spans="1:8" ht="15">
      <c r="A669" s="227" t="s">
        <v>111</v>
      </c>
      <c r="B669" s="157" t="s">
        <v>94</v>
      </c>
      <c r="C669" s="157" t="s">
        <v>106</v>
      </c>
      <c r="D669" s="14" t="s">
        <v>179</v>
      </c>
      <c r="E669" s="14"/>
      <c r="F669" s="15"/>
      <c r="G669" s="15">
        <f>G670</f>
        <v>751</v>
      </c>
      <c r="H669" s="15"/>
    </row>
    <row r="670" spans="1:8" ht="30.75">
      <c r="A670" s="190" t="s">
        <v>416</v>
      </c>
      <c r="B670" s="66" t="s">
        <v>94</v>
      </c>
      <c r="C670" s="66" t="s">
        <v>106</v>
      </c>
      <c r="D670" s="46" t="s">
        <v>417</v>
      </c>
      <c r="E670" s="46"/>
      <c r="F670" s="48"/>
      <c r="G670" s="48">
        <f>G671</f>
        <v>751</v>
      </c>
      <c r="H670" s="15"/>
    </row>
    <row r="671" spans="1:8" ht="46.5">
      <c r="A671" s="215" t="s">
        <v>509</v>
      </c>
      <c r="B671" s="54" t="s">
        <v>94</v>
      </c>
      <c r="C671" s="54" t="s">
        <v>106</v>
      </c>
      <c r="D671" s="10" t="s">
        <v>507</v>
      </c>
      <c r="E671" s="10"/>
      <c r="F671" s="11"/>
      <c r="G671" s="11">
        <f>G672</f>
        <v>751</v>
      </c>
      <c r="H671" s="15"/>
    </row>
    <row r="672" spans="1:8" ht="15">
      <c r="A672" s="217" t="s">
        <v>506</v>
      </c>
      <c r="B672" s="43" t="s">
        <v>94</v>
      </c>
      <c r="C672" s="43" t="s">
        <v>106</v>
      </c>
      <c r="D672" s="43" t="s">
        <v>507</v>
      </c>
      <c r="E672" s="43" t="s">
        <v>508</v>
      </c>
      <c r="F672" s="72"/>
      <c r="G672" s="41">
        <v>751</v>
      </c>
      <c r="H672" s="15"/>
    </row>
    <row r="673" spans="1:8" ht="15">
      <c r="A673" s="190" t="s">
        <v>18</v>
      </c>
      <c r="B673" s="66" t="s">
        <v>94</v>
      </c>
      <c r="C673" s="66" t="s">
        <v>106</v>
      </c>
      <c r="D673" s="46" t="s">
        <v>17</v>
      </c>
      <c r="E673" s="46" t="s">
        <v>43</v>
      </c>
      <c r="F673" s="48">
        <f>F674</f>
        <v>14158</v>
      </c>
      <c r="G673" s="48">
        <f>G674</f>
        <v>16110</v>
      </c>
      <c r="H673" s="15" t="e">
        <f>#REF!-F673</f>
        <v>#REF!</v>
      </c>
    </row>
    <row r="674" spans="1:8" ht="78">
      <c r="A674" s="159" t="s">
        <v>422</v>
      </c>
      <c r="B674" s="157" t="s">
        <v>94</v>
      </c>
      <c r="C674" s="157" t="s">
        <v>106</v>
      </c>
      <c r="D674" s="14" t="s">
        <v>404</v>
      </c>
      <c r="E674" s="14"/>
      <c r="F674" s="15">
        <f>SUM(F676:F676)</f>
        <v>14158</v>
      </c>
      <c r="G674" s="15">
        <f>SUM(G676:G676)</f>
        <v>16110</v>
      </c>
      <c r="H674" s="11" t="e">
        <f>#REF!-F674</f>
        <v>#REF!</v>
      </c>
    </row>
    <row r="675" spans="1:8" ht="15">
      <c r="A675" s="215" t="s">
        <v>510</v>
      </c>
      <c r="B675" s="54" t="s">
        <v>94</v>
      </c>
      <c r="C675" s="54" t="s">
        <v>106</v>
      </c>
      <c r="D675" s="10" t="s">
        <v>511</v>
      </c>
      <c r="E675" s="10"/>
      <c r="F675" s="11"/>
      <c r="G675" s="11">
        <f>G676</f>
        <v>16110</v>
      </c>
      <c r="H675" s="7"/>
    </row>
    <row r="676" spans="1:8" ht="15">
      <c r="A676" s="228" t="s">
        <v>132</v>
      </c>
      <c r="B676" s="18" t="s">
        <v>94</v>
      </c>
      <c r="C676" s="18" t="s">
        <v>106</v>
      </c>
      <c r="D676" s="18" t="s">
        <v>511</v>
      </c>
      <c r="E676" s="18" t="s">
        <v>131</v>
      </c>
      <c r="F676" s="19">
        <v>14158</v>
      </c>
      <c r="G676" s="19">
        <v>16110</v>
      </c>
      <c r="H676" s="19" t="e">
        <f>#REF!-F676</f>
        <v>#REF!</v>
      </c>
    </row>
    <row r="677" spans="1:8" ht="15">
      <c r="A677" s="214" t="s">
        <v>192</v>
      </c>
      <c r="B677" s="88" t="s">
        <v>108</v>
      </c>
      <c r="C677" s="88" t="s">
        <v>108</v>
      </c>
      <c r="D677" s="47"/>
      <c r="E677" s="47"/>
      <c r="F677" s="77"/>
      <c r="G677" s="77">
        <f>G678</f>
        <v>9172</v>
      </c>
      <c r="H677" s="41"/>
    </row>
    <row r="678" spans="1:8" ht="15">
      <c r="A678" s="214" t="s">
        <v>8</v>
      </c>
      <c r="B678" s="88" t="s">
        <v>108</v>
      </c>
      <c r="C678" s="88" t="s">
        <v>9</v>
      </c>
      <c r="D678" s="47"/>
      <c r="E678" s="47"/>
      <c r="F678" s="77"/>
      <c r="G678" s="77">
        <f>G679+G686+G682</f>
        <v>9172</v>
      </c>
      <c r="H678" s="41"/>
    </row>
    <row r="679" spans="1:8" ht="15">
      <c r="A679" s="214" t="s">
        <v>589</v>
      </c>
      <c r="B679" s="88" t="s">
        <v>108</v>
      </c>
      <c r="C679" s="75" t="s">
        <v>9</v>
      </c>
      <c r="D679" s="75" t="s">
        <v>590</v>
      </c>
      <c r="E679" s="89"/>
      <c r="F679" s="89"/>
      <c r="G679" s="90">
        <f>G680</f>
        <v>7791.1</v>
      </c>
      <c r="H679" s="41"/>
    </row>
    <row r="680" spans="1:8" ht="15">
      <c r="A680" s="229" t="s">
        <v>56</v>
      </c>
      <c r="B680" s="94" t="s">
        <v>108</v>
      </c>
      <c r="C680" s="35" t="s">
        <v>9</v>
      </c>
      <c r="D680" s="35" t="s">
        <v>591</v>
      </c>
      <c r="E680" s="91"/>
      <c r="F680" s="91"/>
      <c r="G680" s="92">
        <f>G681</f>
        <v>7791.1</v>
      </c>
      <c r="H680" s="41"/>
    </row>
    <row r="681" spans="1:8" ht="30">
      <c r="A681" s="230" t="s">
        <v>561</v>
      </c>
      <c r="B681" s="93" t="s">
        <v>108</v>
      </c>
      <c r="C681" s="93" t="s">
        <v>9</v>
      </c>
      <c r="D681" s="93" t="s">
        <v>591</v>
      </c>
      <c r="E681" s="93" t="s">
        <v>562</v>
      </c>
      <c r="F681" s="93" t="s">
        <v>592</v>
      </c>
      <c r="G681" s="64">
        <f>7791.1</f>
        <v>7791.1</v>
      </c>
      <c r="H681" s="41"/>
    </row>
    <row r="682" spans="1:8" ht="15">
      <c r="A682" s="12" t="s">
        <v>18</v>
      </c>
      <c r="B682" s="9" t="s">
        <v>108</v>
      </c>
      <c r="C682" s="9" t="s">
        <v>9</v>
      </c>
      <c r="D682" s="14" t="s">
        <v>17</v>
      </c>
      <c r="E682" s="10"/>
      <c r="F682" s="11"/>
      <c r="G682" s="11">
        <f>G683</f>
        <v>180.9</v>
      </c>
      <c r="H682" s="41"/>
    </row>
    <row r="683" spans="1:8" ht="15">
      <c r="A683" s="12" t="s">
        <v>16</v>
      </c>
      <c r="B683" s="13" t="s">
        <v>108</v>
      </c>
      <c r="C683" s="13" t="s">
        <v>9</v>
      </c>
      <c r="D683" s="14" t="s">
        <v>15</v>
      </c>
      <c r="E683" s="14"/>
      <c r="F683" s="15"/>
      <c r="G683" s="15">
        <f>G684</f>
        <v>180.9</v>
      </c>
      <c r="H683" s="41"/>
    </row>
    <row r="684" spans="1:8" ht="30.75">
      <c r="A684" s="8" t="s">
        <v>13</v>
      </c>
      <c r="B684" s="54" t="s">
        <v>108</v>
      </c>
      <c r="C684" s="9" t="s">
        <v>9</v>
      </c>
      <c r="D684" s="10" t="s">
        <v>14</v>
      </c>
      <c r="E684" s="10"/>
      <c r="F684" s="11"/>
      <c r="G684" s="11">
        <f>G685</f>
        <v>180.9</v>
      </c>
      <c r="H684" s="41"/>
    </row>
    <row r="685" spans="1:8" ht="15">
      <c r="A685" s="16" t="s">
        <v>249</v>
      </c>
      <c r="B685" s="52" t="s">
        <v>108</v>
      </c>
      <c r="C685" s="17" t="s">
        <v>9</v>
      </c>
      <c r="D685" s="18" t="s">
        <v>14</v>
      </c>
      <c r="E685" s="18" t="s">
        <v>556</v>
      </c>
      <c r="F685" s="19"/>
      <c r="G685" s="19">
        <v>180.9</v>
      </c>
      <c r="H685" s="41"/>
    </row>
    <row r="686" spans="1:8" ht="15">
      <c r="A686" s="214" t="s">
        <v>113</v>
      </c>
      <c r="B686" s="88" t="s">
        <v>108</v>
      </c>
      <c r="C686" s="75" t="s">
        <v>9</v>
      </c>
      <c r="D686" s="75" t="s">
        <v>157</v>
      </c>
      <c r="E686" s="89"/>
      <c r="F686" s="89"/>
      <c r="G686" s="90">
        <f>G687</f>
        <v>1200</v>
      </c>
      <c r="H686" s="41"/>
    </row>
    <row r="687" spans="1:8" ht="30.75">
      <c r="A687" s="231" t="s">
        <v>305</v>
      </c>
      <c r="B687" s="94" t="s">
        <v>108</v>
      </c>
      <c r="C687" s="35" t="s">
        <v>9</v>
      </c>
      <c r="D687" s="35" t="s">
        <v>306</v>
      </c>
      <c r="E687" s="91"/>
      <c r="F687" s="91"/>
      <c r="G687" s="92">
        <f>G688</f>
        <v>1200</v>
      </c>
      <c r="H687" s="41"/>
    </row>
    <row r="688" spans="1:8" ht="15">
      <c r="A688" s="232" t="s">
        <v>251</v>
      </c>
      <c r="B688" s="93" t="s">
        <v>108</v>
      </c>
      <c r="C688" s="95" t="s">
        <v>9</v>
      </c>
      <c r="D688" s="95" t="s">
        <v>306</v>
      </c>
      <c r="E688" s="95" t="s">
        <v>131</v>
      </c>
      <c r="F688" s="95" t="s">
        <v>592</v>
      </c>
      <c r="G688" s="96">
        <v>1200</v>
      </c>
      <c r="H688" s="41"/>
    </row>
    <row r="689" spans="1:8" ht="15">
      <c r="A689" s="215" t="s">
        <v>2</v>
      </c>
      <c r="B689" s="54" t="s">
        <v>3</v>
      </c>
      <c r="C689" s="54"/>
      <c r="D689" s="10"/>
      <c r="E689" s="10"/>
      <c r="F689" s="11"/>
      <c r="G689" s="11">
        <f>G695+G690</f>
        <v>1108.3</v>
      </c>
      <c r="H689" s="41"/>
    </row>
    <row r="690" spans="1:8" ht="15">
      <c r="A690" s="215" t="s">
        <v>393</v>
      </c>
      <c r="B690" s="54" t="s">
        <v>3</v>
      </c>
      <c r="C690" s="54" t="s">
        <v>394</v>
      </c>
      <c r="D690" s="10"/>
      <c r="E690" s="10"/>
      <c r="F690" s="11"/>
      <c r="G690" s="11">
        <f>G691</f>
        <v>10.5</v>
      </c>
      <c r="H690" s="41"/>
    </row>
    <row r="691" spans="1:8" ht="15">
      <c r="A691" s="12" t="s">
        <v>18</v>
      </c>
      <c r="B691" s="9" t="s">
        <v>3</v>
      </c>
      <c r="C691" s="9" t="s">
        <v>394</v>
      </c>
      <c r="D691" s="14" t="s">
        <v>17</v>
      </c>
      <c r="E691" s="10"/>
      <c r="F691" s="11"/>
      <c r="G691" s="11">
        <f>G692</f>
        <v>10.5</v>
      </c>
      <c r="H691" s="41"/>
    </row>
    <row r="692" spans="1:8" ht="15">
      <c r="A692" s="12" t="s">
        <v>16</v>
      </c>
      <c r="B692" s="13" t="s">
        <v>3</v>
      </c>
      <c r="C692" s="13" t="s">
        <v>394</v>
      </c>
      <c r="D692" s="14" t="s">
        <v>15</v>
      </c>
      <c r="E692" s="14"/>
      <c r="F692" s="15"/>
      <c r="G692" s="15">
        <f>G693</f>
        <v>10.5</v>
      </c>
      <c r="H692" s="41"/>
    </row>
    <row r="693" spans="1:8" ht="30.75">
      <c r="A693" s="8" t="s">
        <v>13</v>
      </c>
      <c r="B693" s="54" t="s">
        <v>3</v>
      </c>
      <c r="C693" s="9" t="s">
        <v>394</v>
      </c>
      <c r="D693" s="10" t="s">
        <v>14</v>
      </c>
      <c r="E693" s="10"/>
      <c r="F693" s="11"/>
      <c r="G693" s="11">
        <f>G694</f>
        <v>10.5</v>
      </c>
      <c r="H693" s="41"/>
    </row>
    <row r="694" spans="1:8" ht="15">
      <c r="A694" s="16" t="s">
        <v>249</v>
      </c>
      <c r="B694" s="52" t="s">
        <v>3</v>
      </c>
      <c r="C694" s="17" t="s">
        <v>394</v>
      </c>
      <c r="D694" s="18" t="s">
        <v>14</v>
      </c>
      <c r="E694" s="18" t="s">
        <v>556</v>
      </c>
      <c r="F694" s="19"/>
      <c r="G694" s="19">
        <v>10.5</v>
      </c>
      <c r="H694" s="41"/>
    </row>
    <row r="695" spans="1:8" ht="15">
      <c r="A695" s="215" t="s">
        <v>32</v>
      </c>
      <c r="B695" s="54" t="s">
        <v>3</v>
      </c>
      <c r="C695" s="54" t="s">
        <v>31</v>
      </c>
      <c r="D695" s="10"/>
      <c r="E695" s="10"/>
      <c r="F695" s="11"/>
      <c r="G695" s="11">
        <f>G696+G698</f>
        <v>1097.8</v>
      </c>
      <c r="H695" s="41"/>
    </row>
    <row r="696" spans="1:8" ht="46.5">
      <c r="A696" s="215" t="s">
        <v>124</v>
      </c>
      <c r="B696" s="54" t="s">
        <v>3</v>
      </c>
      <c r="C696" s="54" t="s">
        <v>31</v>
      </c>
      <c r="D696" s="10" t="s">
        <v>243</v>
      </c>
      <c r="E696" s="10" t="s">
        <v>43</v>
      </c>
      <c r="F696" s="11">
        <f>F697</f>
        <v>449</v>
      </c>
      <c r="G696" s="11">
        <f>G697</f>
        <v>599</v>
      </c>
      <c r="H696" s="41"/>
    </row>
    <row r="697" spans="1:8" ht="15">
      <c r="A697" s="228" t="s">
        <v>132</v>
      </c>
      <c r="B697" s="18" t="s">
        <v>3</v>
      </c>
      <c r="C697" s="18" t="s">
        <v>31</v>
      </c>
      <c r="D697" s="18" t="s">
        <v>243</v>
      </c>
      <c r="E697" s="18" t="s">
        <v>131</v>
      </c>
      <c r="F697" s="19">
        <f>359-30+120</f>
        <v>449</v>
      </c>
      <c r="G697" s="19">
        <f>560+39</f>
        <v>599</v>
      </c>
      <c r="H697" s="41"/>
    </row>
    <row r="698" spans="1:8" ht="30.75">
      <c r="A698" s="215" t="s">
        <v>115</v>
      </c>
      <c r="B698" s="54" t="s">
        <v>3</v>
      </c>
      <c r="C698" s="54" t="s">
        <v>31</v>
      </c>
      <c r="D698" s="10" t="s">
        <v>244</v>
      </c>
      <c r="E698" s="10" t="s">
        <v>43</v>
      </c>
      <c r="F698" s="11">
        <f>F699</f>
        <v>400</v>
      </c>
      <c r="G698" s="11">
        <f>G699</f>
        <v>498.8</v>
      </c>
      <c r="H698" s="41"/>
    </row>
    <row r="699" spans="1:8" ht="15">
      <c r="A699" s="228" t="s">
        <v>132</v>
      </c>
      <c r="B699" s="18" t="s">
        <v>3</v>
      </c>
      <c r="C699" s="18" t="s">
        <v>31</v>
      </c>
      <c r="D699" s="18" t="s">
        <v>244</v>
      </c>
      <c r="E699" s="18" t="s">
        <v>131</v>
      </c>
      <c r="F699" s="19">
        <f>450-50</f>
        <v>400</v>
      </c>
      <c r="G699" s="19">
        <f>550-51.2</f>
        <v>498.8</v>
      </c>
      <c r="H699" s="41"/>
    </row>
    <row r="700" spans="1:8" ht="15">
      <c r="A700" s="233" t="s">
        <v>51</v>
      </c>
      <c r="B700" s="10" t="s">
        <v>600</v>
      </c>
      <c r="C700" s="10" t="s">
        <v>600</v>
      </c>
      <c r="D700" s="10" t="s">
        <v>43</v>
      </c>
      <c r="E700" s="10" t="s">
        <v>43</v>
      </c>
      <c r="F700" s="11" t="e">
        <f>F701+F710+#REF!</f>
        <v>#REF!</v>
      </c>
      <c r="G700" s="11">
        <f>G701</f>
        <v>1000</v>
      </c>
      <c r="H700" s="41"/>
    </row>
    <row r="701" spans="1:8" ht="15">
      <c r="A701" s="215" t="s">
        <v>601</v>
      </c>
      <c r="B701" s="54" t="s">
        <v>600</v>
      </c>
      <c r="C701" s="54" t="s">
        <v>602</v>
      </c>
      <c r="D701" s="10" t="s">
        <v>43</v>
      </c>
      <c r="E701" s="10" t="s">
        <v>43</v>
      </c>
      <c r="F701" s="11">
        <f>F702</f>
        <v>1000.2</v>
      </c>
      <c r="G701" s="11">
        <f>G702</f>
        <v>1000</v>
      </c>
      <c r="H701" s="41"/>
    </row>
    <row r="702" spans="1:8" ht="15">
      <c r="A702" s="215" t="s">
        <v>52</v>
      </c>
      <c r="B702" s="54" t="s">
        <v>600</v>
      </c>
      <c r="C702" s="54" t="s">
        <v>602</v>
      </c>
      <c r="D702" s="10" t="s">
        <v>141</v>
      </c>
      <c r="E702" s="10" t="s">
        <v>43</v>
      </c>
      <c r="F702" s="11">
        <f>F703</f>
        <v>1000.2</v>
      </c>
      <c r="G702" s="11">
        <f>G703</f>
        <v>1000</v>
      </c>
      <c r="H702" s="41"/>
    </row>
    <row r="703" spans="1:8" ht="15">
      <c r="A703" s="226" t="s">
        <v>53</v>
      </c>
      <c r="B703" s="176" t="s">
        <v>600</v>
      </c>
      <c r="C703" s="176" t="s">
        <v>602</v>
      </c>
      <c r="D703" s="6" t="s">
        <v>142</v>
      </c>
      <c r="E703" s="6"/>
      <c r="F703" s="7">
        <f>F704</f>
        <v>1000.2</v>
      </c>
      <c r="G703" s="7">
        <f>G704</f>
        <v>1000</v>
      </c>
      <c r="H703" s="41"/>
    </row>
    <row r="704" spans="1:8" ht="15">
      <c r="A704" s="228" t="s">
        <v>572</v>
      </c>
      <c r="B704" s="18" t="s">
        <v>600</v>
      </c>
      <c r="C704" s="18" t="s">
        <v>602</v>
      </c>
      <c r="D704" s="18" t="s">
        <v>142</v>
      </c>
      <c r="E704" s="18" t="s">
        <v>571</v>
      </c>
      <c r="F704" s="19">
        <f>2029.2-1029</f>
        <v>1000.2</v>
      </c>
      <c r="G704" s="19">
        <v>1000</v>
      </c>
      <c r="H704" s="41"/>
    </row>
    <row r="705" spans="1:8" ht="30.75">
      <c r="A705" s="233" t="s">
        <v>6</v>
      </c>
      <c r="B705" s="10" t="s">
        <v>4</v>
      </c>
      <c r="C705" s="10" t="s">
        <v>4</v>
      </c>
      <c r="D705" s="10" t="s">
        <v>43</v>
      </c>
      <c r="E705" s="10" t="s">
        <v>43</v>
      </c>
      <c r="F705" s="11" t="e">
        <f>F706+#REF!+#REF!</f>
        <v>#REF!</v>
      </c>
      <c r="G705" s="11">
        <f>G706</f>
        <v>37497.4</v>
      </c>
      <c r="H705" s="11" t="e">
        <f>#REF!-F705</f>
        <v>#REF!</v>
      </c>
    </row>
    <row r="706" spans="1:8" ht="30.75">
      <c r="A706" s="215" t="s">
        <v>7</v>
      </c>
      <c r="B706" s="54" t="s">
        <v>4</v>
      </c>
      <c r="C706" s="54" t="s">
        <v>5</v>
      </c>
      <c r="D706" s="10" t="s">
        <v>43</v>
      </c>
      <c r="E706" s="10" t="s">
        <v>43</v>
      </c>
      <c r="F706" s="11">
        <f>F707</f>
        <v>38362.1</v>
      </c>
      <c r="G706" s="11">
        <f>G707</f>
        <v>37497.4</v>
      </c>
      <c r="H706" s="11" t="e">
        <f>#REF!-F706</f>
        <v>#REF!</v>
      </c>
    </row>
    <row r="707" spans="1:8" ht="15">
      <c r="A707" s="215" t="s">
        <v>225</v>
      </c>
      <c r="B707" s="54" t="s">
        <v>4</v>
      </c>
      <c r="C707" s="54" t="s">
        <v>5</v>
      </c>
      <c r="D707" s="10" t="s">
        <v>226</v>
      </c>
      <c r="E707" s="10"/>
      <c r="F707" s="11">
        <f>F708</f>
        <v>38362.1</v>
      </c>
      <c r="G707" s="11">
        <f>G708</f>
        <v>37497.4</v>
      </c>
      <c r="H707" s="11" t="e">
        <f>#REF!-F707</f>
        <v>#REF!</v>
      </c>
    </row>
    <row r="708" spans="1:8" ht="30.75">
      <c r="A708" s="215" t="s">
        <v>227</v>
      </c>
      <c r="B708" s="54" t="s">
        <v>4</v>
      </c>
      <c r="C708" s="54" t="s">
        <v>5</v>
      </c>
      <c r="D708" s="10" t="s">
        <v>228</v>
      </c>
      <c r="E708" s="10" t="s">
        <v>43</v>
      </c>
      <c r="F708" s="11">
        <f>F709</f>
        <v>38362.1</v>
      </c>
      <c r="G708" s="11">
        <f>G709</f>
        <v>37497.4</v>
      </c>
      <c r="H708" s="11" t="e">
        <f>#REF!-F708</f>
        <v>#REF!</v>
      </c>
    </row>
    <row r="709" spans="1:8" ht="30" thickBot="1">
      <c r="A709" s="217" t="s">
        <v>574</v>
      </c>
      <c r="B709" s="234" t="s">
        <v>4</v>
      </c>
      <c r="C709" s="234" t="s">
        <v>5</v>
      </c>
      <c r="D709" s="234" t="s">
        <v>228</v>
      </c>
      <c r="E709" s="31" t="s">
        <v>573</v>
      </c>
      <c r="F709" s="32">
        <f>40208.1-1846</f>
        <v>38362.1</v>
      </c>
      <c r="G709" s="32">
        <v>37497.4</v>
      </c>
      <c r="H709" s="32" t="e">
        <f>#REF!-F709</f>
        <v>#REF!</v>
      </c>
    </row>
    <row r="710" spans="1:8" ht="15.75" thickBot="1">
      <c r="A710" s="97" t="s">
        <v>109</v>
      </c>
      <c r="B710" s="98"/>
      <c r="C710" s="98"/>
      <c r="D710" s="98"/>
      <c r="E710" s="98"/>
      <c r="F710" s="99" t="e">
        <f>F17+F108+F123+F165+F203+F403+#REF!+F515+F705</f>
        <v>#REF!</v>
      </c>
      <c r="G710" s="99">
        <f>G17+G108+G123+G165+G203+G403+G450+G515+G677+G689+G700+G705</f>
        <v>2212551.42</v>
      </c>
      <c r="H710" s="99" t="e">
        <f>#REF!-F710</f>
        <v>#REF!</v>
      </c>
    </row>
    <row r="716" ht="29.25" customHeight="1">
      <c r="G716" s="244"/>
    </row>
  </sheetData>
  <autoFilter ref="A15:G710"/>
  <mergeCells count="13">
    <mergeCell ref="A5:H5"/>
    <mergeCell ref="A9:H9"/>
    <mergeCell ref="A1:H1"/>
    <mergeCell ref="A2:H2"/>
    <mergeCell ref="A3:H3"/>
    <mergeCell ref="A6:H6"/>
    <mergeCell ref="A4:H4"/>
    <mergeCell ref="B7:G7"/>
    <mergeCell ref="C8:G8"/>
    <mergeCell ref="A10:H10"/>
    <mergeCell ref="A13:H13"/>
    <mergeCell ref="A11:H11"/>
    <mergeCell ref="A12:H12"/>
  </mergeCells>
  <printOptions horizontalCentered="1"/>
  <pageMargins left="0.984251968503937" right="0.5905511811023623" top="0.7874015748031497" bottom="0.5905511811023623" header="0" footer="0.3937007874015748"/>
  <pageSetup fitToHeight="14" fitToWidth="1" horizontalDpi="1200" verticalDpi="12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2012-12-20T08:14:03Z</cp:lastPrinted>
  <dcterms:created xsi:type="dcterms:W3CDTF">2003-12-05T21:14:57Z</dcterms:created>
  <dcterms:modified xsi:type="dcterms:W3CDTF">2012-12-20T09:13:13Z</dcterms:modified>
  <cp:category/>
  <cp:version/>
  <cp:contentType/>
  <cp:contentStatus/>
</cp:coreProperties>
</file>