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345" windowWidth="12390" windowHeight="2805" activeTab="0"/>
  </bookViews>
  <sheets>
    <sheet name="Приложение 3" sheetId="1" r:id="rId1"/>
  </sheets>
  <definedNames>
    <definedName name="_xlnm._FilterDatabase" localSheetId="0" hidden="1">'Приложение 3'!$A$12:$G$697</definedName>
    <definedName name="_xlnm.Print_Titles" localSheetId="0">'Приложение 3'!$13:$13</definedName>
    <definedName name="_xlnm.Print_Area" localSheetId="0">'Приложение 3'!$A$1:$G$697</definedName>
  </definedNames>
  <calcPr fullCalcOnLoad="1"/>
</workbook>
</file>

<file path=xl/sharedStrings.xml><?xml version="1.0" encoding="utf-8"?>
<sst xmlns="http://schemas.openxmlformats.org/spreadsheetml/2006/main" count="2094" uniqueCount="688">
  <si>
    <t>Обеспечение деятельности представительных органов муниципальных образований</t>
  </si>
  <si>
    <t>Муниципальная программа "Комплексное развитие  Кировского муниципального района Ленинградской области"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</si>
  <si>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</si>
  <si>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ЦСР</t>
  </si>
  <si>
    <t>ВР</t>
  </si>
  <si>
    <t>Утверждено</t>
  </si>
  <si>
    <t>Ленинградской области</t>
  </si>
  <si>
    <t xml:space="preserve">Кировского муниципального района </t>
  </si>
  <si>
    <t>Рп ПР</t>
  </si>
  <si>
    <t xml:space="preserve">Муниципальная программа "Управление муниципальными финансами Кировского муниципального района Ленинградской области"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</si>
  <si>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</si>
  <si>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Обеспечение деятельности Главы местной администрации</t>
  </si>
  <si>
    <t>1301</t>
  </si>
  <si>
    <t>0113</t>
  </si>
  <si>
    <t>1401</t>
  </si>
  <si>
    <t>1101</t>
  </si>
  <si>
    <t>0501</t>
  </si>
  <si>
    <t>1204</t>
  </si>
  <si>
    <t>решением совета депутатов</t>
  </si>
  <si>
    <t>Наименование</t>
  </si>
  <si>
    <t/>
  </si>
  <si>
    <t>0102</t>
  </si>
  <si>
    <t>0103</t>
  </si>
  <si>
    <t>0104</t>
  </si>
  <si>
    <t>0106</t>
  </si>
  <si>
    <t>0309</t>
  </si>
  <si>
    <t>0701</t>
  </si>
  <si>
    <t>0702</t>
  </si>
  <si>
    <t>0707</t>
  </si>
  <si>
    <t>0709</t>
  </si>
  <si>
    <t>0801</t>
  </si>
  <si>
    <t>0804</t>
  </si>
  <si>
    <t>1003</t>
  </si>
  <si>
    <t>1004</t>
  </si>
  <si>
    <t>ВСЕГО</t>
  </si>
  <si>
    <t>0405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</si>
  <si>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</si>
  <si>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</si>
  <si>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Муниципальная программа "Развитие сельского хозяйства Кировского района Ленинградской области"</t>
  </si>
  <si>
    <t>0409</t>
  </si>
  <si>
    <t>Непрограммные расходы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</si>
  <si>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</si>
  <si>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</si>
  <si>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0111</t>
  </si>
  <si>
    <t>0412</t>
  </si>
  <si>
    <t>67 0 00 00000</t>
  </si>
  <si>
    <t>67 1 09 00000</t>
  </si>
  <si>
    <t>67 1 00 00000</t>
  </si>
  <si>
    <t>67 3 00 00000</t>
  </si>
  <si>
    <t>67 3 09 00000</t>
  </si>
  <si>
    <t>67 4 00 00000</t>
  </si>
  <si>
    <t>67 4 09 00000</t>
  </si>
  <si>
    <t>67 5 09 00000</t>
  </si>
  <si>
    <t>67 5 00 00000</t>
  </si>
  <si>
    <t>67 9 00 00000</t>
  </si>
  <si>
    <t>67 9 09 00000</t>
  </si>
  <si>
    <t>67 9 09 71010</t>
  </si>
  <si>
    <t>67 9 09 71030</t>
  </si>
  <si>
    <t>67 9 09 71330</t>
  </si>
  <si>
    <t>67 9 09 71340</t>
  </si>
  <si>
    <t>67 9 09 71420</t>
  </si>
  <si>
    <t>67 9 09 71510</t>
  </si>
  <si>
    <t>67 9 09 71590</t>
  </si>
  <si>
    <t>98 0 00 00000</t>
  </si>
  <si>
    <t>98 9 00 00000</t>
  </si>
  <si>
    <t>98 9 09 00000</t>
  </si>
  <si>
    <t>98 9 09 10030</t>
  </si>
  <si>
    <t>98 9 09 10050</t>
  </si>
  <si>
    <t>98 9 09 10070</t>
  </si>
  <si>
    <t>98 9 09 10300</t>
  </si>
  <si>
    <t>98 9 09 10310</t>
  </si>
  <si>
    <t>98 9 09 10350</t>
  </si>
  <si>
    <t>98 9 09 10980</t>
  </si>
  <si>
    <t>98 9 09 15040</t>
  </si>
  <si>
    <t>98 9 09 71590</t>
  </si>
  <si>
    <t>98 9 09 71640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</si>
  <si>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</si>
  <si>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Организация и проведение мероприятий в сфере культуры</t>
  </si>
  <si>
    <t>Мероприятия по землеустройству и землепользованию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</si>
  <si>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</si>
  <si>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Содержание и обслуживание объектов имущества казны муниципального образования</t>
  </si>
  <si>
    <t xml:space="preserve">Резервный фонд администрации муниципального образования 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</si>
  <si>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</si>
  <si>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</si>
  <si>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 xml:space="preserve"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</t>
  </si>
  <si>
    <t xml:space="preserve">Организация и осуществление деятельности по опеке и попечительству </t>
  </si>
  <si>
    <t xml:space="preserve">Организация и проведение спартакиады допризывной молодежи Кировского района Ленинградской области </t>
  </si>
  <si>
    <t xml:space="preserve">Материально-техническое обеспечение тренировочного процесса и приобретение наградной и спортивной атрибутики, сувенирной продукции </t>
  </si>
  <si>
    <t>Организация и проведение мероприятий по гражданско-патриотическому воспитанию молодежи</t>
  </si>
  <si>
    <t>Оснащение оборудованием детских дошкольных организаций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</si>
  <si>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</si>
  <si>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 xml:space="preserve">Обновление содержания дошкольного образования </t>
  </si>
  <si>
    <t xml:space="preserve">Организация групп продленного дня в образовательных организациях </t>
  </si>
  <si>
    <t>Оснащение учебно-лабораторным оборудованием организаций, работающих по ФГОС</t>
  </si>
  <si>
    <t xml:space="preserve">Обновление содержания общего образования и  развитие сети общеобразовательных учреждений </t>
  </si>
  <si>
    <t xml:space="preserve">Развитие воспитательного потенциала системы общего образования </t>
  </si>
  <si>
    <t xml:space="preserve">Государственная регламентация деятельности образовательных организаций </t>
  </si>
  <si>
    <t xml:space="preserve">Развитие системы  образования </t>
  </si>
  <si>
    <t xml:space="preserve">Поддержка талантливой молодежи </t>
  </si>
  <si>
    <t xml:space="preserve">Развитие кадрового потенциала системы дошкольного, общего и дополнительного образования </t>
  </si>
  <si>
    <t xml:space="preserve">Развитие кадровых ресурсов </t>
  </si>
  <si>
    <t xml:space="preserve">Проведение аттестации рабочих мест </t>
  </si>
  <si>
    <t xml:space="preserve">Проведение периодического медицинского осмотра работников образовательных учреждений </t>
  </si>
  <si>
    <t>Поощрение педагогических работников района</t>
  </si>
  <si>
    <t xml:space="preserve">Приобретение компьютерного оборудования для образовательных организаций в целях информатизации обучения </t>
  </si>
  <si>
    <t xml:space="preserve">Техническое сопровождение в целях информатизации обучения учащихся </t>
  </si>
  <si>
    <t xml:space="preserve">Обслуживание системы водоочистки образовательных организаций </t>
  </si>
  <si>
    <t>Благоустройство территорий образовательных организаций</t>
  </si>
  <si>
    <t xml:space="preserve">Обслуживание АПС в муниципальных образовательных организациях  </t>
  </si>
  <si>
    <t xml:space="preserve">Обеспечение функционирования канала связи с пожарными частями в муниципальных образовательных организациях </t>
  </si>
  <si>
    <t xml:space="preserve">Организация мероприятий по комплексной безопасности муниципальных образовательных организаций  </t>
  </si>
  <si>
    <t xml:space="preserve">Обеспечение безопасности дорожного движения  </t>
  </si>
  <si>
    <t>Мероприятия по ремонту автомобильных дорог</t>
  </si>
  <si>
    <t xml:space="preserve">Процентные платежи по муниципальному долгу </t>
  </si>
  <si>
    <t>0705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</si>
  <si>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</si>
  <si>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</si>
  <si>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Муниципальная программа "Развитие образования Кировского муниципального района Ленинградской области" </t>
  </si>
  <si>
    <t xml:space="preserve">Муниципальная программа "Развитие и поддержка малого и среднего бизнеса в Кировском муниципальном районе Ленинградской области" </t>
  </si>
  <si>
    <t>Уплата государственной пошлины</t>
  </si>
  <si>
    <t>98 9 09 10080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</si>
  <si>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</si>
  <si>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</si>
  <si>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</si>
  <si>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Организация электронного и дистанционного обучения обучающихся в муниципальных общеобразовательных организациях</t>
  </si>
  <si>
    <t>98 9 09 59300</t>
  </si>
  <si>
    <t>0703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</si>
  <si>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</si>
  <si>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возмещение части затрат на 1 литр произведенного молока</t>
  </si>
  <si>
    <t>Проведение мероприятий, направленных на организацию охраны здоровья участников образовательного процесса</t>
  </si>
  <si>
    <t>1403</t>
  </si>
  <si>
    <t>Исполнение судебных актов Российской Федерации и мировых соглашений по возмещению вреда</t>
  </si>
  <si>
    <t>1001</t>
  </si>
  <si>
    <t xml:space="preserve">Доплаты к пенсиям муниципальных служащих </t>
  </si>
  <si>
    <t>98 9 09 03080</t>
  </si>
  <si>
    <t>Субсидии социально ориентированным некоммерческим общественным организациям 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</si>
  <si>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</si>
  <si>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</si>
  <si>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98 9 09 51200</t>
  </si>
  <si>
    <t>0105</t>
  </si>
  <si>
    <t>Строительство, реконструкция, приобретение и пристрой объектов для организации общего образования</t>
  </si>
  <si>
    <t>1105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</si>
  <si>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</si>
  <si>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</si>
  <si>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</si>
  <si>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</si>
  <si>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</si>
  <si>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</si>
  <si>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</si>
  <si>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</si>
  <si>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</si>
  <si>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</si>
  <si>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 xml:space="preserve">Оказание дополнительной финансовой помощи бюджетам поселений Кировского муниципального района Ленинградской области </t>
  </si>
  <si>
    <t>Муниципальная программа "Развитие рынка наружной рекламы в Кировском муниципальном районе Ленинградской области"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</si>
  <si>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</si>
  <si>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</si>
  <si>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</si>
  <si>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400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</si>
  <si>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</si>
  <si>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</si>
  <si>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67 9 09 71380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</si>
  <si>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</si>
  <si>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Организация работы школьных лесничеств</t>
  </si>
  <si>
    <t>Наращивание компьютерного парка, создание новых информационных ресурсов и услуг для населения</t>
  </si>
  <si>
    <t>Мероприятия по содержанию автомобильных дорог</t>
  </si>
  <si>
    <t xml:space="preserve">РАСПРЕДЕЛЕНИЕ
бюджетных ассигнований по целевым статьям (муниципальным программам Кировского муниципального района Ленинградской области и непрограммным направлениям деятельности), группам видов расходов, разделам и подразделам классификации расходов бюджетов </t>
  </si>
  <si>
    <t>Поддержка и развитие самодеятельного народного творчества</t>
  </si>
  <si>
    <t>Проведение обязательного психиатрического освидетельствования работников образовательных учреждений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</si>
  <si>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</si>
  <si>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</si>
  <si>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1202</t>
  </si>
  <si>
    <t>Выполнение мероприятий на устранение аварийных ситуаций в муниципальных образовательных организациях</t>
  </si>
  <si>
    <t>Организация и проведение соревнований и спортивно массовых мероприятий для инвалидов</t>
  </si>
  <si>
    <t>Обеспечение функционирования модели персонифицированного финансирования дополнительного образования детей</t>
  </si>
  <si>
    <t>1102</t>
  </si>
  <si>
    <t xml:space="preserve">Организация отдыха  детей и подростков </t>
  </si>
  <si>
    <t>Организация отдыха, занятости подростков и молодежи в летний период</t>
  </si>
  <si>
    <t>67 2 00 00000</t>
  </si>
  <si>
    <t>67 2 09 00000</t>
  </si>
  <si>
    <t>Обеспечение деятельности депутатов представительных органов муниципальных образований</t>
  </si>
  <si>
    <t>Поддержка развития общественной инфраструктуры муниципального значения</t>
  </si>
  <si>
    <t>Обеспечение антитеррористической защищенности объектов (территорий)</t>
  </si>
  <si>
    <t>Материально-техническое обеспечение молодежных коворкинг-центров</t>
  </si>
  <si>
    <t xml:space="preserve"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 </t>
  </si>
  <si>
    <t>Дотации на выравнивание бюджетной обеспеченности поселений из бюджета муниципального района</t>
  </si>
  <si>
    <t>Проведение капитального ремонта спортивных площадок (стадионов) общеобразовательных организаций</t>
  </si>
  <si>
    <t>Мероприятия в сфере транспортного обслуживания населения</t>
  </si>
  <si>
    <t>0408</t>
  </si>
  <si>
    <t>0605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</si>
  <si>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</si>
  <si>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</si>
  <si>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</si>
  <si>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</si>
  <si>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0310</t>
  </si>
  <si>
    <t>Создание резервов материальных средств для ликвидации чрезвычайных ситуаций</t>
  </si>
  <si>
    <t>Популяризация достижений в сельском хозяйстве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</si>
  <si>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</si>
  <si>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98 9 09 10250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</si>
  <si>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</si>
  <si>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</si>
  <si>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</si>
  <si>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</si>
  <si>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Организация и осуществление деятельности по постинтернатному сопровождению</t>
  </si>
  <si>
    <t>Организация профессионального образования и  дополнительного профессионального образования муниципальных служащих, иных работников ОМСУ и работников муниципальных учреждений</t>
  </si>
  <si>
    <t>98 9 09 10340</t>
  </si>
  <si>
    <t>Выполнение комплексных кадастровых работ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</si>
  <si>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</si>
  <si>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98 9 09 19990</t>
  </si>
  <si>
    <t>Мероприятия по реализации инициативных проектов на территории Кировского муниципального района</t>
  </si>
  <si>
    <t>Укрепление материально-технической базы организаций дошкольного образования</t>
  </si>
  <si>
    <t xml:space="preserve"> 2024 год 
сумма
(тысяч рублей)</t>
  </si>
  <si>
    <t>03 0 00 00000</t>
  </si>
  <si>
    <t>03 4 00 00000</t>
  </si>
  <si>
    <t>03 4 01 00000</t>
  </si>
  <si>
    <t>03 4 01 06270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</si>
  <si>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</si>
  <si>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03 4 04 00000</t>
  </si>
  <si>
    <t>03 4 04 06240</t>
  </si>
  <si>
    <t>Комплекс процессных мероприятий "Развитие отрасли растениеводства Кировского района Ленинградской области"</t>
  </si>
  <si>
    <t>03 4 03 00000</t>
  </si>
  <si>
    <t>03 4 03 10780</t>
  </si>
  <si>
    <t>Комплекс процессных мероприятий "Устойчивое развитие сельских территорий Кировского района Ленинградской области"</t>
  </si>
  <si>
    <t>Комплексы процессных мероприятий</t>
  </si>
  <si>
    <t>Комплекс процессных мероприятий "Гражданско-патриотическое воспитание молодежи"</t>
  </si>
  <si>
    <t>Комплекс процессных мероприятий "Профилактика асоциального  поведения и употребления психоактивных  веществ в подростковой и молодежной среде"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</si>
  <si>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</si>
  <si>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Комплекс процессных мероприятий "Создание условий и возможностей для успешной социализации и самореализации молодежи"</t>
  </si>
  <si>
    <t>Реализация комплекса мер по поддержке творческой и талантливой молодежи</t>
  </si>
  <si>
    <t>Реализация комплекса мер по пропаганде семейных ценностей</t>
  </si>
  <si>
    <t>Молодежные форумы и молодежные массовые мероприятия</t>
  </si>
  <si>
    <t>Комплекс процессных мероприятий "Обеспечение отдыха, занятости детей, подростков и молодежи"</t>
  </si>
  <si>
    <t>Комплекс процессных мероприятий  "Развитие физической культуры и спорта среди различных групп населения"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</si>
  <si>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</si>
  <si>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Комплекс процессных мероприятий "Развитие массового детско-юношеского спорта"</t>
  </si>
  <si>
    <t xml:space="preserve"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 </t>
  </si>
  <si>
    <t>Комплекс процессных мероприятий "Патриотическое воспитание молодежи средствами физической культуры и спорта"</t>
  </si>
  <si>
    <t>Комплекс процессных мероприятий "Развитие адаптивной физической культуры и спорта"</t>
  </si>
  <si>
    <t>Комплекс процессных мероприятий "Материально-техническое обеспечение физической культуры и спорта"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</si>
  <si>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</si>
  <si>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</si>
  <si>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1103</t>
  </si>
  <si>
    <t>04 0 00 00000</t>
  </si>
  <si>
    <t>04 4 00 00000</t>
  </si>
  <si>
    <t>04 4 01 00000</t>
  </si>
  <si>
    <t>04 4 01  11340</t>
  </si>
  <si>
    <t>04 4 01 11340</t>
  </si>
  <si>
    <t>04 4 02 00000</t>
  </si>
  <si>
    <t>04 4 02 11350</t>
  </si>
  <si>
    <t>04 4 03 00000</t>
  </si>
  <si>
    <t>04 4 03 11360</t>
  </si>
  <si>
    <t>04 4 03 11370</t>
  </si>
  <si>
    <t>04 4 03 11380</t>
  </si>
  <si>
    <t>Обеспечение деятельности (услуги, работы) муниципальных учреждений</t>
  </si>
  <si>
    <t>04 4 03 00160</t>
  </si>
  <si>
    <t>04 4 04 00000</t>
  </si>
  <si>
    <t>04 4 04 11390</t>
  </si>
  <si>
    <t>04 4 05 00000</t>
  </si>
  <si>
    <t>04 4 05 00160</t>
  </si>
  <si>
    <t>04 4 05 11051</t>
  </si>
  <si>
    <t>04 4 05 11260</t>
  </si>
  <si>
    <t>04 4 06 00000</t>
  </si>
  <si>
    <t>04 4 06 11270</t>
  </si>
  <si>
    <t>04 4 07 00000</t>
  </si>
  <si>
    <t>04 4 07 11280</t>
  </si>
  <si>
    <t>04 4 08 00000</t>
  </si>
  <si>
    <t>04 4 08 11290</t>
  </si>
  <si>
    <t>04 4 09 00000</t>
  </si>
  <si>
    <t>04 4 09 11300</t>
  </si>
  <si>
    <t>04 4 10 00000</t>
  </si>
  <si>
    <t>04 4 10 00160</t>
  </si>
  <si>
    <t>08 0 00 00000</t>
  </si>
  <si>
    <t>08 4 00 00000</t>
  </si>
  <si>
    <t>08 4 01 00000</t>
  </si>
  <si>
    <t>08 4 01 13000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</si>
  <si>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</si>
  <si>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08 4 01 13160</t>
  </si>
  <si>
    <t>Поддержка сельскохозяйственного производства</t>
  </si>
  <si>
    <t>07 0 00 00000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</si>
  <si>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</si>
  <si>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07 4 01 00000</t>
  </si>
  <si>
    <t>07 4 00 00000</t>
  </si>
  <si>
    <t>07 4 01 71010</t>
  </si>
  <si>
    <t>Расчет и предоставление дотаций на выравнивание бюджетной обеспеченности поселений</t>
  </si>
  <si>
    <t>07 4 01 90050</t>
  </si>
  <si>
    <t>Комплекс процессных мероприятий "Поддержка  бюджетов муниципальных образований поселений Кировского муниципального района Ленинградской области"</t>
  </si>
  <si>
    <t>07 4 02 00000</t>
  </si>
  <si>
    <t>07 4 02 95080</t>
  </si>
  <si>
    <t>07 4 02 95090</t>
  </si>
  <si>
    <t>07 4 03 00000</t>
  </si>
  <si>
    <t>07 4 03 10010</t>
  </si>
  <si>
    <t>Комплекс процессных мероприятий "Выполнение обязательств, связанных с привлечением муниципальных заимствований"</t>
  </si>
  <si>
    <t>Исполнение функций органов местного самоуправления</t>
  </si>
  <si>
    <t>67 4 09 00150</t>
  </si>
  <si>
    <t>67 5 09 00150</t>
  </si>
  <si>
    <t>67 2 09 00150</t>
  </si>
  <si>
    <t>67 3 09 00150</t>
  </si>
  <si>
    <t>Комплекс процессных мероприятий "Создание условий для развития библиотечного дела и популяризации чтения"</t>
  </si>
  <si>
    <t>Государственная поддержка отрасли культуры (Комплектование книжных фондов муниципальных библиотек )</t>
  </si>
  <si>
    <t>Комплекс процессных мероприятий "Развитие и сохранение кадрового потенциала работников в учреждениях культуры"</t>
  </si>
  <si>
    <t xml:space="preserve">Комплекс процессных мероприятий "Социокультурная деятельность" </t>
  </si>
  <si>
    <t>Организация и проведение мероприятий в сфере культуры по военно-патриотическому  воспитанию</t>
  </si>
  <si>
    <t>Комплекс процессных мероприятий "Развитие дополнительного образования в области искусств"</t>
  </si>
  <si>
    <t>Проведение периодического медицинского осмотра работников учреждений дополнительного образования в области искусств</t>
  </si>
  <si>
    <t>Комплекс процессных мероприятий "Создание условий для развития искусства и творчества"</t>
  </si>
  <si>
    <t>Комплекс процессных мероприятий "Безопасность библиотек и учреждений дополнительного образования в области искусств"</t>
  </si>
  <si>
    <t xml:space="preserve">Обслуживание автоматической пожарной сигнализации (АПС)  </t>
  </si>
  <si>
    <t xml:space="preserve">Обеспечение функционирования канала связи с пожарными частями 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</si>
  <si>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</si>
  <si>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Комплекс процессных мероприятий "Поддержка социально ориентированных некоммерческих общественных организаций"</t>
  </si>
  <si>
    <t>Комплекс процессных мероприятий "Поддержка средств массовой информации"</t>
  </si>
  <si>
    <t>Комплекс процессных мероприятий "Обеспечение реализации муниципальной программы"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</si>
  <si>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</si>
  <si>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01 4 01 00000</t>
  </si>
  <si>
    <t>01 0 00 00000</t>
  </si>
  <si>
    <t>01 4 01 00160</t>
  </si>
  <si>
    <t>01 4 00 00000</t>
  </si>
  <si>
    <t>05 0 00 00000</t>
  </si>
  <si>
    <t>05 4 01 00000</t>
  </si>
  <si>
    <t>05 4 01 00160</t>
  </si>
  <si>
    <t>05 4 00 00000</t>
  </si>
  <si>
    <t>05 4 01 S5195</t>
  </si>
  <si>
    <t>05 4 01 11120</t>
  </si>
  <si>
    <t>05 4 01 S4840</t>
  </si>
  <si>
    <t>05 4 02 00000</t>
  </si>
  <si>
    <t>05 4 02 S0360</t>
  </si>
  <si>
    <t>05 4 03 00000</t>
  </si>
  <si>
    <t>05 4 03 10770</t>
  </si>
  <si>
    <t>05 4 03 11070</t>
  </si>
  <si>
    <t>05 4 03 11160</t>
  </si>
  <si>
    <t>05 4  04 00000</t>
  </si>
  <si>
    <t>05 4 04 00160</t>
  </si>
  <si>
    <t>05 4 04 11960</t>
  </si>
  <si>
    <t>05 4 05 00000</t>
  </si>
  <si>
    <t>05 4 05 S5193</t>
  </si>
  <si>
    <t>05 4 06 00000</t>
  </si>
  <si>
    <t>05 4 06 12210</t>
  </si>
  <si>
    <t>05 4 06 12240</t>
  </si>
  <si>
    <t>05 4 06 12340</t>
  </si>
  <si>
    <t>05 4 06 12280</t>
  </si>
  <si>
    <t>05 4 07 00000</t>
  </si>
  <si>
    <t>05 4 07 06690</t>
  </si>
  <si>
    <t>05 4 07 72060</t>
  </si>
  <si>
    <t>05 4 09 00000</t>
  </si>
  <si>
    <t>05 4 09 06210</t>
  </si>
  <si>
    <t>05 4 09 06220</t>
  </si>
  <si>
    <t>05 4 10 00000</t>
  </si>
  <si>
    <t>05 4 10 00150</t>
  </si>
  <si>
    <t xml:space="preserve">Комплексы процессных мероприятий </t>
  </si>
  <si>
    <t>Подготовка руководящего состава, специалистов и населения в области гражданской обороны и защиты от чрезвычайных ситуаций</t>
  </si>
  <si>
    <t>67 1 09 00150</t>
  </si>
  <si>
    <t>06 0 00 00000</t>
  </si>
  <si>
    <t>Капитальный ремонт объектов физической культуры и спорта (УМП "Плавательный бассейн" по адресу: Ленинградская область, Кировский район, г.Кировск,ул.Молодежная, д.15)</t>
  </si>
  <si>
    <t>09 0 00 00000</t>
  </si>
  <si>
    <t>09 4 01 00000</t>
  </si>
  <si>
    <t>09 4 00 00000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</si>
  <si>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</si>
  <si>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09 4 01 13530</t>
  </si>
  <si>
    <t>Комплекс процессных мероприятий "Содержание, капитальный ремонт и ремонт автомобильных дорог общего пользования"</t>
  </si>
  <si>
    <t>09 4 02 00000</t>
  </si>
  <si>
    <t>09 4 02 11020</t>
  </si>
  <si>
    <t>09 4 02 11030</t>
  </si>
  <si>
    <t xml:space="preserve">Осуществление полномочий Кировского муниципального района Ленинградской области на мероприятия по содержанию автомобильных дорог </t>
  </si>
  <si>
    <t>09 4 02 95010</t>
  </si>
  <si>
    <t>11 0 00  00000</t>
  </si>
  <si>
    <t>11 4 00 00000</t>
  </si>
  <si>
    <t>Комплекс процессных мероприятий "Поддержка спроса"</t>
  </si>
  <si>
    <t>11 4 01 00000</t>
  </si>
  <si>
    <t>11 4 01 06360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</si>
  <si>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</si>
  <si>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11 4 02 00000</t>
  </si>
  <si>
    <t>11 4 02 06320</t>
  </si>
  <si>
    <t>11 4 02 06350</t>
  </si>
  <si>
    <t>98 9 09 00160</t>
  </si>
  <si>
    <t>02 4 01 00000</t>
  </si>
  <si>
    <t>02 0 00 00000</t>
  </si>
  <si>
    <t>02 4 00 00000</t>
  </si>
  <si>
    <t>02 4 01 00160</t>
  </si>
  <si>
    <t>02 4 02 00000</t>
  </si>
  <si>
    <t>02 4 03 00000</t>
  </si>
  <si>
    <t>02 4 04 00000</t>
  </si>
  <si>
    <t>Комплекс процессных мероприятий "Обеспечение реализации программ дошкольного образования"</t>
  </si>
  <si>
    <t>02 4 01 71350</t>
  </si>
  <si>
    <t>Комплекс процессных мероприятий "Создание в образовательных организациях условий для сохранения и укрепления здоровья"</t>
  </si>
  <si>
    <t>02 4 05 00000</t>
  </si>
  <si>
    <t>Комплекс процессных мероприятий "Организация  мероприятий по комплексной безопасности  образовательных организаций"</t>
  </si>
  <si>
    <t>02 4 06 00000</t>
  </si>
  <si>
    <t>02 4 06 12140</t>
  </si>
  <si>
    <t>02 4 06 12160</t>
  </si>
  <si>
    <t>02 4 06 12170</t>
  </si>
  <si>
    <t>02 4 06 12200</t>
  </si>
  <si>
    <t>02 4 06 12340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</si>
  <si>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</si>
  <si>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02 4 07 00000</t>
  </si>
  <si>
    <t>02 4 07 12310</t>
  </si>
  <si>
    <t>02 4 07 12350</t>
  </si>
  <si>
    <t>02 4 07 S4840</t>
  </si>
  <si>
    <t>02 4 01 71360</t>
  </si>
  <si>
    <t>Комплекс процессных мероприятий "Обеспечение реализации программ общего образования"</t>
  </si>
  <si>
    <t>02 4 01 11770</t>
  </si>
  <si>
    <t>02 4 01 11810</t>
  </si>
  <si>
    <t>02 4 01 11800</t>
  </si>
  <si>
    <t>02 4 02 00160</t>
  </si>
  <si>
    <t>02 4 02 11950</t>
  </si>
  <si>
    <t>02 4 02 11870</t>
  </si>
  <si>
    <t>02 4 02 11830</t>
  </si>
  <si>
    <t>02 4 02 11840</t>
  </si>
  <si>
    <t>02 4 02 11880</t>
  </si>
  <si>
    <t>02 4 02 71530</t>
  </si>
  <si>
    <t>02 4 04 12220</t>
  </si>
  <si>
    <t>02 4 04 12250</t>
  </si>
  <si>
    <t>02 4 04 12260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</si>
  <si>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</si>
  <si>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02 4 05 12154</t>
  </si>
  <si>
    <t>02 4 05 12270</t>
  </si>
  <si>
    <t>02 4 05 12300</t>
  </si>
  <si>
    <t>Комплекс процессных мероприятий "Обеспечение реализации программ дополнительного образования детей"</t>
  </si>
  <si>
    <t>02 4 03 00160</t>
  </si>
  <si>
    <t>02 4 03 12550</t>
  </si>
  <si>
    <t>02 4 03 11860</t>
  </si>
  <si>
    <t>02 4 03 11890</t>
  </si>
  <si>
    <t>10 0 00 00000</t>
  </si>
  <si>
    <t>10 4 00 00000</t>
  </si>
  <si>
    <t>10 4 01 00000</t>
  </si>
  <si>
    <t xml:space="preserve">Оснащение приборами учета энергоресурсов муниципальных дошкольных учреждений </t>
  </si>
  <si>
    <t>10 4 01 11240</t>
  </si>
  <si>
    <t>Оснащение приборами учета энергоресурсов муниципальных учреждений дополнительного образования</t>
  </si>
  <si>
    <t>10 4 01 11250</t>
  </si>
  <si>
    <t>10 4 01 11220</t>
  </si>
  <si>
    <t>10 4 03 00000</t>
  </si>
  <si>
    <t>10 4 03 12530</t>
  </si>
  <si>
    <t>10 4 04 00000</t>
  </si>
  <si>
    <t>Теплоизоляция системы центрального отопления</t>
  </si>
  <si>
    <t>10 4 04 12610</t>
  </si>
  <si>
    <t>10 4 05 12620</t>
  </si>
  <si>
    <t>10 4 05 00000</t>
  </si>
  <si>
    <t>Замена электрических автоматов</t>
  </si>
  <si>
    <t>10 4 05 12600</t>
  </si>
  <si>
    <t>10 4 06 00000</t>
  </si>
  <si>
    <t>10 4 06 12570</t>
  </si>
  <si>
    <t>Замена светильников в муниципальных образовательных учреждениях</t>
  </si>
  <si>
    <t>02 4 08 00000</t>
  </si>
  <si>
    <t>02 4 08 12290</t>
  </si>
  <si>
    <t>Организация отдыха детей, находящихся в трудной жизненной ситуации, в каникулярное время</t>
  </si>
  <si>
    <t>02 4 08 S4410</t>
  </si>
  <si>
    <t>Комплекс процессных мероприятий  "Содействие развитию кадрового потенциала"</t>
  </si>
  <si>
    <t>02 4 09 00000</t>
  </si>
  <si>
    <t>02 4 09 11900</t>
  </si>
  <si>
    <t>02 4 09 11920</t>
  </si>
  <si>
    <t>02 4 09 11930</t>
  </si>
  <si>
    <t>02 4 09 11940</t>
  </si>
  <si>
    <t>02 4 09 11980</t>
  </si>
  <si>
    <t>02 4 09 11910</t>
  </si>
  <si>
    <t>02 4 10 00000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</si>
  <si>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</si>
  <si>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</si>
  <si>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02 4 10 71440</t>
  </si>
  <si>
    <t>02 4 10 R3040</t>
  </si>
  <si>
    <t>02 4 06 12440</t>
  </si>
  <si>
    <t>02 4 03 S0190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</si>
  <si>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</si>
  <si>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02 4 11 00000</t>
  </si>
  <si>
    <t>02 4 11 71430</t>
  </si>
  <si>
    <t>02 4 11 71450</t>
  </si>
  <si>
    <t>02 4 11 71460</t>
  </si>
  <si>
    <t>02 4 11 71470</t>
  </si>
  <si>
    <t>02 4 11 71480</t>
  </si>
  <si>
    <t>02 4 11 71490</t>
  </si>
  <si>
    <t>02 4 11 71500</t>
  </si>
  <si>
    <t>02 4 11 71720</t>
  </si>
  <si>
    <t>02 4 02 53030</t>
  </si>
  <si>
    <t xml:space="preserve">Поддержка сельскохозяйственного производства </t>
  </si>
  <si>
    <t>Сфера профилактики безнадзорности и правонарушений несовершеннолетних</t>
  </si>
  <si>
    <t>Сфера административных правоотношений</t>
  </si>
  <si>
    <t>Сфера жилищных отношений</t>
  </si>
  <si>
    <t>Сфера архивного дела</t>
  </si>
  <si>
    <t>Организация мероприятий при осуществлении деятельности по обращению с животными без владельцев</t>
  </si>
  <si>
    <t>Осуществление переданных полномочий Российской Федерации на государственную регистрацию актов гражданского состояния</t>
  </si>
  <si>
    <t>06 4 00 00000</t>
  </si>
  <si>
    <t>Комплекс процессных мероприятий  "Капитальный ремонт (ремонт) объектов муниципальной собственности"</t>
  </si>
  <si>
    <t>06 4 01 17940</t>
  </si>
  <si>
    <t xml:space="preserve">Мероприятия по капитальному ремонту (ремонту) дошкольных образовательных организаций  </t>
  </si>
  <si>
    <t>06 4 01 17960</t>
  </si>
  <si>
    <t xml:space="preserve">Мероприятия по капитальному ремонту (ремонту) общеобразовательных организаций </t>
  </si>
  <si>
    <t>06 4 01 17970</t>
  </si>
  <si>
    <t xml:space="preserve">Мероприятия по капитальному ремонту (ремонту) организаций дополнительного образования </t>
  </si>
  <si>
    <t>06 4 01 00000</t>
  </si>
  <si>
    <t>06 4 01 17100</t>
  </si>
  <si>
    <t>Мероприятия по капитальному ремонту (ремонту) прочих объектов</t>
  </si>
  <si>
    <t>Взнос на капитальный ремонт общего имущества в многоквартирном доме на территории муниципального образования</t>
  </si>
  <si>
    <t>98 9 09 15460</t>
  </si>
  <si>
    <t>Приобретение товаров, работ, услуг в целях информирования населения о деятельности органов местного самоуправления</t>
  </si>
  <si>
    <t>Организация охраны в муниципальных образовательных организациях  путем экстренного вызова группы задержания и оказание услуг по организации и обеспечению физической охраны</t>
  </si>
  <si>
    <t>Организация охраны путем экстренного вызова группы задержания и оказание услуг по организации и обеспечению физической охраны</t>
  </si>
  <si>
    <t>Комплекс процессных мероприятий "Обеспечение и поддержание в готовности сил и средств ГО и РСЧС Кировского муниципального района Ленинградской области"</t>
  </si>
  <si>
    <t>02 4 07 12320</t>
  </si>
  <si>
    <t>02 4 07 12330</t>
  </si>
  <si>
    <t>Укрепление материально-технической базы учреждений общего образования</t>
  </si>
  <si>
    <t>Укрепление материально-технической базы учреждений дополнительного образования</t>
  </si>
  <si>
    <t>05 4 05 11130</t>
  </si>
  <si>
    <t>Укрепление материально-технической базы учреждений дополнительного образования в сфере культуры и искусства</t>
  </si>
  <si>
    <t>05 4 01 11110</t>
  </si>
  <si>
    <t xml:space="preserve">Оснащение приборами учета энергоресурсов муниципальных общеобразовательных учреждений </t>
  </si>
  <si>
    <t>03 4 05 00000</t>
  </si>
  <si>
    <t>03 4 05 10800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</si>
  <si>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</si>
  <si>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Реализация мероприятий по борьбе с борщевиком Сосновского</t>
  </si>
  <si>
    <t>98 9 09 10290</t>
  </si>
  <si>
    <t>Мероприятия по подготовке проектов изменений в генеральные планы сельских поселений</t>
  </si>
  <si>
    <t>03 4 05 10550</t>
  </si>
  <si>
    <t>Ликвидация мест несанкционированного размещения отходов</t>
  </si>
  <si>
    <t>04 4 03 S4820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</si>
  <si>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</si>
  <si>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02 2 00 00000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</si>
  <si>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</si>
  <si>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Укрепление материально-технической базы организаций общего образования (техническое оснащение инженерного класса  в общеобразовательных организациях)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</si>
  <si>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</si>
  <si>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02 4 10 73040</t>
  </si>
  <si>
    <t>04 4 03 12370</t>
  </si>
  <si>
    <t>(Приложение 3)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</si>
  <si>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</si>
  <si>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</si>
  <si>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 xml:space="preserve"> 2025 год 
сумма
(тысяч рублей)</t>
  </si>
  <si>
    <t>Укрепление материально-технической базы библиотек</t>
  </si>
  <si>
    <t xml:space="preserve">Муниципальная программа "Развитие физической культуры и спорта, молодежной политики в Кировском муниципальном районе Ленинградской области" </t>
  </si>
  <si>
    <t>Муниципальная программа "Развитие культуры Кировского муниципального района Ленинградской области"</t>
  </si>
  <si>
    <t>02 4 12 00000</t>
  </si>
  <si>
    <t>Финансовое обеспечение затрат на опубликование муниципальных правовых актов органов местного самоуправления, обсуждение проектов  муниципальных правовых актов по вопросам местного значения, доведения до сведения жителей  официальной информации о социально-экономическом 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</si>
  <si>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 жизни Кировского муниципального района Ленинградской области  в периодическом печатном издании</t>
  </si>
  <si>
    <t>0503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</si>
  <si>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</si>
  <si>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</si>
  <si>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</si>
  <si>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02 4 07 12360</t>
  </si>
  <si>
    <t>67 6 00 00000</t>
  </si>
  <si>
    <t>67 6 09 00000</t>
  </si>
  <si>
    <t>67 6 09 00150</t>
  </si>
  <si>
    <t>02 4 02 11820</t>
  </si>
  <si>
    <t>Организация районных мероприятий и реализация районных проектов</t>
  </si>
  <si>
    <t>Поддержка социально ориентированных некоммерческих организаций Ленинградской области</t>
  </si>
  <si>
    <t xml:space="preserve">Предоставление субсидий бюджетным, автономным учреждениям и иным некоммерческим организациям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</si>
  <si>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</si>
  <si>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на 2024 год и на плановый период 2025 и 2026 годов</t>
  </si>
  <si>
    <t xml:space="preserve"> 2026 год 
сумма
(тысяч рублей)</t>
  </si>
  <si>
    <t>67 9 09 71760</t>
  </si>
  <si>
    <t>03 7 00 00000</t>
  </si>
  <si>
    <t>03 7 03 00000</t>
  </si>
  <si>
    <t>03 7 03 71030</t>
  </si>
  <si>
    <t>Отраслевые проекты</t>
  </si>
  <si>
    <t>Отраслевой проект "Развитие агропромышленного комплекса"</t>
  </si>
  <si>
    <t>11 4 04 00000</t>
  </si>
  <si>
    <t>Комплекс процессных мероприятий "Поддержка конкурентоспособности субъектов МСП"</t>
  </si>
  <si>
    <t>11 4 04 S4260</t>
  </si>
  <si>
    <t>02 7 00 00000</t>
  </si>
  <si>
    <t>02 7 01 00000</t>
  </si>
  <si>
    <t>02 7 02 00000</t>
  </si>
  <si>
    <t>02 7 02 S4890</t>
  </si>
  <si>
    <t>Отраслевой проект "Сохранение и развитие материально-технической базы общего и дополнительного образования"</t>
  </si>
  <si>
    <t>02 7 02 S4450</t>
  </si>
  <si>
    <t>06 7 00 00000</t>
  </si>
  <si>
    <t>06 7 02 00000</t>
  </si>
  <si>
    <t>06 7 02 S4452</t>
  </si>
  <si>
    <t xml:space="preserve"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 </t>
  </si>
  <si>
    <t>04 4 10 S4840</t>
  </si>
  <si>
    <t>06 7 01 00000</t>
  </si>
  <si>
    <t>06 7 01 S4062</t>
  </si>
  <si>
    <t>Отраслевой проект "Развитие объектов физической культуры и спорта"</t>
  </si>
  <si>
    <t>04 4 05 S4600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</si>
  <si>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</si>
  <si>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</si>
  <si>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10 4 02 00000</t>
  </si>
  <si>
    <t>10 4 02 11210</t>
  </si>
  <si>
    <t>10 4 05 12580</t>
  </si>
  <si>
    <t>03 7 01 00000</t>
  </si>
  <si>
    <t>Отраслевой проект "Вовлечение в оборот земель сельскохозяйственного назначения"</t>
  </si>
  <si>
    <t>Подготовка проектов межевания земельных участков и проведение кадастровых работ (проведение кадастровых работ)</t>
  </si>
  <si>
    <t>03 7 01 L5991</t>
  </si>
  <si>
    <t>03 7 02 00000</t>
  </si>
  <si>
    <t>03 7 02 S4620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</si>
  <si>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</si>
  <si>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Проведение комплексных кадастровых работ</t>
  </si>
  <si>
    <t>98 9 09 95090</t>
  </si>
  <si>
    <t>02 7 01 S0491</t>
  </si>
  <si>
    <t>02 7 01 S4590</t>
  </si>
  <si>
    <t>Реновация организаций дошкольного образования</t>
  </si>
  <si>
    <t>Региональные проекты</t>
  </si>
  <si>
    <t>02 2 E1 00000</t>
  </si>
  <si>
    <t>02 2 E1 51720</t>
  </si>
  <si>
    <t>Региональный проект "Современная школа"</t>
  </si>
  <si>
    <t>02 2 E4 00000</t>
  </si>
  <si>
    <t>02 2 E4 52130</t>
  </si>
  <si>
    <t>Региональный проект "Цифровая образовательная среда"</t>
  </si>
  <si>
    <t>02 2 EВ 00000</t>
  </si>
  <si>
    <t>02 2 EВ 51790</t>
  </si>
  <si>
    <t>02 7 02 S0510</t>
  </si>
  <si>
    <t>02 7 02 S0511</t>
  </si>
  <si>
    <t>02 7 02 S4300</t>
  </si>
  <si>
    <t>Реновация организаций общего образования</t>
  </si>
  <si>
    <t>02 7 02 S5060</t>
  </si>
  <si>
    <t>Обновление материально-технической базы столовых и пищеблоков общеобразовательных организаций</t>
  </si>
  <si>
    <t>02 7 02 S0571</t>
  </si>
  <si>
    <t>02 4 12 S0840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</si>
  <si>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</si>
  <si>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02 7 03 00000</t>
  </si>
  <si>
    <t>Отраслевой проект "Улучшение жилищных условий и обеспечение жильем отдельных категорий граждан"</t>
  </si>
  <si>
    <t>02 7 03 70820</t>
  </si>
  <si>
    <t>02 7 03 R0820</t>
  </si>
  <si>
    <t>08 4 01 13150</t>
  </si>
  <si>
    <t>10 4 06 12590</t>
  </si>
  <si>
    <t>Региональный проект "Патриотическое воспитание граждан Российской Федерации"</t>
  </si>
  <si>
    <t>Комплекс процессных мероприятий "Снижение муниципальными учреждениями объема потребления электрической энергии"</t>
  </si>
  <si>
    <t>Организация деятельности кадетских классов в образовательных организациях</t>
  </si>
  <si>
    <t xml:space="preserve">Премирование по муниципальному правовому акту администрации  вне системы оплаты труда </t>
  </si>
  <si>
    <t>Отраслевой проект "Сохранение и развитие материально-технической базы дошкольного образования"</t>
  </si>
  <si>
    <t>Оснащение  приборами учета энергоресурсов муниципальных учреждений дополнительного образования (ДМХШ, ДШИ), МКУК "ЦМБ"</t>
  </si>
  <si>
    <t>Комплекс процессных мероприятий "Снижение муниципальными учреждениями дополнительного образования (ДМХШ, ДШИ), МКУК "ЦМБ" объема потребления энергетических ресурсов"</t>
  </si>
  <si>
    <t>Комплекс процессных мероприятий "Обеспечение бесперебойного электроснабжнения зданий муниципальных учреждений"</t>
  </si>
  <si>
    <t>Проведение испытаний и измерений электросетей и электрооборудования в  муниципальных учреждениях дополнительного образования (ДМХШ, ДШИ), МКУК "ЦМБ"</t>
  </si>
  <si>
    <t>Замена системы электроснабжения в помещениях тепловых пунктов муниципальных учреждений</t>
  </si>
  <si>
    <t>Замена светильников в  муниципальных учреждениях дополнительного образования (ДМХШ, ДШИ), МКУК "ЦМБ"</t>
  </si>
  <si>
    <t>Комплекс процессных мероприятий "Снижение муниципальными учреждениями образования объема потребления энергетических ресурсов"</t>
  </si>
  <si>
    <t>Комплекс процессных мероприятий "Получение допуска к эксплуатации узлов учета тепловой энергии муниципальных учреждений"</t>
  </si>
  <si>
    <t>Приведение узлов учета тепловой энергии муниципальных учреждений в соответствии с нормативными требованиями</t>
  </si>
  <si>
    <t>Комплекс процессных мероприятий "Сохранение теплового контура зданий муниципальных учреждений"</t>
  </si>
  <si>
    <t>Обеспечение деятельности Председателя контрольно-счетной палаты и его заместителей</t>
  </si>
  <si>
    <t xml:space="preserve"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 </t>
  </si>
  <si>
    <t>02 2 E2 00000</t>
  </si>
  <si>
    <t>02 2 E2 51710</t>
  </si>
  <si>
    <t>Региональный проект "Успех каждого ребенка"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</si>
  <si>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</si>
  <si>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лет, индивидуальным предпринимателям  и  физическим лицам, применяющим специальный налоговый режим "Налог на профессиональный доход"</t>
  </si>
  <si>
    <t>Материально-техническое обеспечение многофункциональных молодежных центров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</si>
  <si>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</si>
  <si>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части передаваемых полномочий в сфере архитектуры и градостроительства</t>
  </si>
  <si>
    <t>Осуществление части передаваемых полномочий по обеспечению условий для развития физической культуры и спорта</t>
  </si>
  <si>
    <t>Осуществление полномочий по муниципальному жилищному контролю</t>
  </si>
  <si>
    <t>67 8 00 00000</t>
  </si>
  <si>
    <t>67 8 09 00000</t>
  </si>
  <si>
    <t>67 8 09 96050</t>
  </si>
  <si>
    <t>67 8 09 96070</t>
  </si>
  <si>
    <t>67 8 09 96110</t>
  </si>
  <si>
    <t>Капитальный ремонт (ремонт) автомобильных дорог местного значения и искусственных сооружений на них</t>
  </si>
  <si>
    <t>98 9 09 14090</t>
  </si>
  <si>
    <t>Проведение информационно-аналитического наблюдения за осуществлением торговой деятельности</t>
  </si>
  <si>
    <t>11 4 01 74490</t>
  </si>
  <si>
    <t>Мероприятия по капитальному ремонту (ремонту) общеобразовательных организаций</t>
  </si>
  <si>
    <t>98 9 09 17960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</si>
  <si>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</si>
  <si>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98 9 09 51350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</si>
  <si>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</si>
  <si>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98 9 09 51760</t>
  </si>
  <si>
    <t>04 7 00 00000</t>
  </si>
  <si>
    <t>Установка модульного строения лыжной базы по адресу: Ленинградская область, Кировский район, г. Кировск</t>
  </si>
  <si>
    <t>04 7 01 80060</t>
  </si>
  <si>
    <t>Осуществление части передаваемых полномочий по владению, пользованию и распоряжению имуществом</t>
  </si>
  <si>
    <t>Осуществление земельного контроля за использованием земель на территориях поселений</t>
  </si>
  <si>
    <t>67 8 09 96030</t>
  </si>
  <si>
    <t>67 8 09 96040</t>
  </si>
  <si>
    <t>Осуществление части передаваемых полномочий по формированию, утверждению, исполнению бюджета</t>
  </si>
  <si>
    <t>67 8 09 96010</t>
  </si>
  <si>
    <t>08 4 01 96100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</si>
  <si>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</si>
  <si>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11 4 01 S4490</t>
  </si>
  <si>
    <t>04 7 01 17950</t>
  </si>
  <si>
    <t>Капитальный ремонт объектов физической культуры и спорта</t>
  </si>
  <si>
    <t>04 4 05 11330</t>
  </si>
  <si>
    <t>Укрепление материально-технической базы организаций физической культуры и спорта</t>
  </si>
  <si>
    <t>10 4 05 11180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</si>
  <si>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</si>
  <si>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 xml:space="preserve"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 </t>
  </si>
  <si>
    <t>05 4 10 96020</t>
  </si>
  <si>
    <t>0502</t>
  </si>
  <si>
    <t>67 8 09 96090</t>
  </si>
  <si>
    <t xml:space="preserve">Осуществление передаваемых полномочий контрольно-счетных органов поселений по осуществлению внешнего муниципального финансового контроля </t>
  </si>
  <si>
    <t>07 4 02 95050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</si>
  <si>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№597</t>
  </si>
  <si>
    <t>67 8 09 96091</t>
  </si>
  <si>
    <t>Осуществление передаваемых полномочий контрольно-счетных органов поселений по осуществлению внешнего муниципального финансового контроля (муниципальные должности)</t>
  </si>
  <si>
    <t>Создание, содержание и организация деятельности аварийно-спасательных служб на территориях сельских поселений</t>
  </si>
  <si>
    <t>08 4 01 13360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</si>
  <si>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</si>
  <si>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06 7 02 80120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</si>
  <si>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</si>
  <si>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06 7 02 80590</t>
  </si>
  <si>
    <t>Мероприятия по капитальному ремонту (ремонту) организаций физической культуры и массового спорта</t>
  </si>
  <si>
    <t>06 4 01 17930</t>
  </si>
  <si>
    <t>от «29» ноября 2023 г. № 100</t>
  </si>
  <si>
    <t>от «05» марта 2024 года № 17)</t>
  </si>
  <si>
    <t>(в редакции решения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</si>
</sst>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?"/>
    <numFmt numFmtId="180" formatCode="#,##0.00&quot;р.&quot;"/>
    <numFmt numFmtId="181" formatCode="0.0"/>
    <numFmt numFmtId="182" formatCode="0.00000"/>
    <numFmt numFmtId="183" formatCode="0.0000"/>
    <numFmt numFmtId="184" formatCode="0.000"/>
    <numFmt numFmtId="185" formatCode="0.000000"/>
    <numFmt numFmtId="186" formatCode="0.0000000"/>
  </numFmts>
  <fonts count="79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2"/>
      <color indexed="56"/>
      <name val="Arial Cyr"/>
      <family val="0"/>
    </font>
    <font>
      <b/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2"/>
      <color indexed="10"/>
      <name val="Arial Cyr"/>
      <family val="0"/>
    </font>
    <font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2"/>
      <color indexed="36"/>
      <name val="Arial Cyr"/>
      <family val="0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2"/>
      <color indexed="56"/>
      <name val="Arial Cyr"/>
      <family val="0"/>
    </font>
    <font>
      <b/>
      <sz val="14"/>
      <color indexed="56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Arial Cyr"/>
      <family val="0"/>
    </font>
    <font>
      <sz val="12"/>
      <color theme="3" tint="-0.4999699890613556"/>
      <name val="Arial Cyr"/>
      <family val="0"/>
    </font>
    <font>
      <b/>
      <sz val="12"/>
      <color theme="1"/>
      <name val="Arial Cyr"/>
      <family val="0"/>
    </font>
    <font>
      <b/>
      <i/>
      <sz val="12"/>
      <color theme="1"/>
      <name val="Arial Cyr"/>
      <family val="0"/>
    </font>
    <font>
      <b/>
      <i/>
      <sz val="12"/>
      <color rgb="FFFF0000"/>
      <name val="Arial Cyr"/>
      <family val="0"/>
    </font>
    <font>
      <sz val="12"/>
      <color theme="1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sz val="12"/>
      <color rgb="FF7030A0"/>
      <name val="Arial Cyr"/>
      <family val="0"/>
    </font>
    <font>
      <sz val="10"/>
      <color rgb="FFFF0000"/>
      <name val="Arial Cyr"/>
      <family val="0"/>
    </font>
    <font>
      <sz val="12"/>
      <color rgb="FF002060"/>
      <name val="Arial Cyr"/>
      <family val="0"/>
    </font>
    <font>
      <sz val="10"/>
      <color rgb="FFC00000"/>
      <name val="Arial Cyr"/>
      <family val="0"/>
    </font>
    <font>
      <b/>
      <sz val="12"/>
      <color rgb="FF002060"/>
      <name val="Arial Cyr"/>
      <family val="0"/>
    </font>
    <font>
      <b/>
      <sz val="14"/>
      <color rgb="FF002060"/>
      <name val="Times New Roman"/>
      <family val="1"/>
    </font>
    <font>
      <b/>
      <sz val="12"/>
      <color theme="3" tint="-0.4999699890613556"/>
      <name val="Arial Cyr"/>
      <family val="0"/>
    </font>
    <font>
      <b/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thin">
        <color indexed="8"/>
      </left>
      <right style="hair">
        <color indexed="8"/>
      </right>
      <top style="thin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thin"/>
      <bottom style="hair"/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/>
    </border>
    <border>
      <left style="thin">
        <color indexed="8"/>
      </left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/>
      <right style="hair"/>
      <top style="thin"/>
      <bottom style="hair"/>
    </border>
    <border>
      <left style="hair">
        <color indexed="8"/>
      </left>
      <right style="thin">
        <color indexed="8"/>
      </right>
      <top style="thin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hair"/>
    </border>
    <border>
      <left style="hair">
        <color indexed="8"/>
      </left>
      <right style="thin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hair"/>
    </border>
    <border>
      <left style="hair"/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left" wrapText="1"/>
    </xf>
    <xf numFmtId="49" fontId="1" fillId="34" borderId="13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35" borderId="19" xfId="0" applyNumberFormat="1" applyFont="1" applyFill="1" applyBorder="1" applyAlignment="1">
      <alignment horizontal="center" wrapText="1"/>
    </xf>
    <xf numFmtId="0" fontId="2" fillId="35" borderId="12" xfId="0" applyNumberFormat="1" applyFont="1" applyFill="1" applyBorder="1" applyAlignment="1">
      <alignment horizontal="left" wrapText="1"/>
    </xf>
    <xf numFmtId="49" fontId="1" fillId="35" borderId="13" xfId="0" applyNumberFormat="1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center" wrapText="1"/>
    </xf>
    <xf numFmtId="49" fontId="3" fillId="35" borderId="18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49" fontId="3" fillId="35" borderId="27" xfId="0" applyNumberFormat="1" applyFont="1" applyFill="1" applyBorder="1" applyAlignment="1">
      <alignment horizontal="left" wrapText="1"/>
    </xf>
    <xf numFmtId="49" fontId="3" fillId="35" borderId="26" xfId="0" applyNumberFormat="1" applyFont="1" applyFill="1" applyBorder="1" applyAlignment="1">
      <alignment horizontal="center" wrapText="1"/>
    </xf>
    <xf numFmtId="49" fontId="3" fillId="35" borderId="20" xfId="0" applyNumberFormat="1" applyFont="1" applyFill="1" applyBorder="1" applyAlignment="1">
      <alignment horizontal="left" wrapText="1"/>
    </xf>
    <xf numFmtId="49" fontId="3" fillId="35" borderId="21" xfId="0" applyNumberFormat="1" applyFont="1" applyFill="1" applyBorder="1" applyAlignment="1">
      <alignment horizontal="center" wrapText="1"/>
    </xf>
    <xf numFmtId="49" fontId="3" fillId="35" borderId="24" xfId="0" applyNumberFormat="1" applyFont="1" applyFill="1" applyBorder="1" applyAlignment="1">
      <alignment horizontal="left" wrapText="1"/>
    </xf>
    <xf numFmtId="49" fontId="3" fillId="35" borderId="25" xfId="0" applyNumberFormat="1" applyFont="1" applyFill="1" applyBorder="1" applyAlignment="1">
      <alignment horizontal="center" wrapText="1"/>
    </xf>
    <xf numFmtId="49" fontId="3" fillId="35" borderId="17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49" fontId="1" fillId="0" borderId="29" xfId="0" applyNumberFormat="1" applyFont="1" applyFill="1" applyBorder="1" applyAlignment="1">
      <alignment horizontal="center" wrapText="1"/>
    </xf>
    <xf numFmtId="49" fontId="3" fillId="35" borderId="29" xfId="0" applyNumberFormat="1" applyFont="1" applyFill="1" applyBorder="1" applyAlignment="1">
      <alignment horizontal="center" wrapText="1"/>
    </xf>
    <xf numFmtId="49" fontId="3" fillId="35" borderId="30" xfId="0" applyNumberFormat="1" applyFont="1" applyFill="1" applyBorder="1" applyAlignment="1">
      <alignment horizontal="left" wrapText="1"/>
    </xf>
    <xf numFmtId="178" fontId="63" fillId="0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64" fillId="0" borderId="0" xfId="0" applyNumberFormat="1" applyFont="1" applyFill="1" applyBorder="1" applyAlignment="1">
      <alignment horizontal="right"/>
    </xf>
    <xf numFmtId="178" fontId="1" fillId="36" borderId="31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left" wrapText="1"/>
    </xf>
    <xf numFmtId="49" fontId="1" fillId="36" borderId="13" xfId="0" applyNumberFormat="1" applyFont="1" applyFill="1" applyBorder="1" applyAlignment="1">
      <alignment horizontal="center" wrapText="1"/>
    </xf>
    <xf numFmtId="49" fontId="2" fillId="36" borderId="13" xfId="0" applyNumberFormat="1" applyFont="1" applyFill="1" applyBorder="1" applyAlignment="1">
      <alignment horizontal="center" wrapText="1"/>
    </xf>
    <xf numFmtId="49" fontId="2" fillId="34" borderId="32" xfId="0" applyNumberFormat="1" applyFont="1" applyFill="1" applyBorder="1" applyAlignment="1">
      <alignment horizontal="left" wrapText="1"/>
    </xf>
    <xf numFmtId="49" fontId="1" fillId="34" borderId="33" xfId="0" applyNumberFormat="1" applyFont="1" applyFill="1" applyBorder="1" applyAlignment="1">
      <alignment horizontal="center" wrapText="1"/>
    </xf>
    <xf numFmtId="49" fontId="3" fillId="34" borderId="33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35" borderId="16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65" fillId="0" borderId="13" xfId="0" applyNumberFormat="1" applyFont="1" applyFill="1" applyBorder="1" applyAlignment="1">
      <alignment horizontal="center" wrapText="1"/>
    </xf>
    <xf numFmtId="49" fontId="66" fillId="0" borderId="13" xfId="0" applyNumberFormat="1" applyFont="1" applyFill="1" applyBorder="1" applyAlignment="1">
      <alignment horizontal="center" wrapText="1"/>
    </xf>
    <xf numFmtId="0" fontId="2" fillId="36" borderId="32" xfId="0" applyFont="1" applyFill="1" applyBorder="1" applyAlignment="1">
      <alignment wrapText="1"/>
    </xf>
    <xf numFmtId="49" fontId="1" fillId="36" borderId="33" xfId="0" applyNumberFormat="1" applyFont="1" applyFill="1" applyBorder="1" applyAlignment="1">
      <alignment horizontal="center" wrapText="1"/>
    </xf>
    <xf numFmtId="49" fontId="2" fillId="36" borderId="33" xfId="0" applyNumberFormat="1" applyFont="1" applyFill="1" applyBorder="1" applyAlignment="1">
      <alignment horizontal="center" wrapText="1"/>
    </xf>
    <xf numFmtId="49" fontId="3" fillId="35" borderId="14" xfId="0" applyNumberFormat="1" applyFont="1" applyFill="1" applyBorder="1" applyAlignment="1">
      <alignment horizontal="center" wrapText="1"/>
    </xf>
    <xf numFmtId="49" fontId="1" fillId="35" borderId="23" xfId="0" applyNumberFormat="1" applyFont="1" applyFill="1" applyBorder="1" applyAlignment="1">
      <alignment horizontal="center" wrapText="1"/>
    </xf>
    <xf numFmtId="49" fontId="2" fillId="35" borderId="23" xfId="0" applyNumberFormat="1" applyFont="1" applyFill="1" applyBorder="1" applyAlignment="1">
      <alignment horizontal="center" wrapText="1"/>
    </xf>
    <xf numFmtId="49" fontId="2" fillId="35" borderId="12" xfId="0" applyNumberFormat="1" applyFont="1" applyFill="1" applyBorder="1" applyAlignment="1">
      <alignment horizontal="left" wrapText="1"/>
    </xf>
    <xf numFmtId="49" fontId="3" fillId="35" borderId="34" xfId="0" applyNumberFormat="1" applyFont="1" applyFill="1" applyBorder="1" applyAlignment="1">
      <alignment horizontal="center" wrapText="1"/>
    </xf>
    <xf numFmtId="49" fontId="2" fillId="36" borderId="3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49" fontId="1" fillId="36" borderId="14" xfId="0" applyNumberFormat="1" applyFont="1" applyFill="1" applyBorder="1" applyAlignment="1">
      <alignment horizontal="center" wrapText="1"/>
    </xf>
    <xf numFmtId="49" fontId="3" fillId="36" borderId="13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left" wrapText="1"/>
    </xf>
    <xf numFmtId="49" fontId="2" fillId="36" borderId="33" xfId="0" applyNumberFormat="1" applyFont="1" applyFill="1" applyBorder="1" applyAlignment="1">
      <alignment horizontal="center"/>
    </xf>
    <xf numFmtId="49" fontId="1" fillId="36" borderId="33" xfId="0" applyNumberFormat="1" applyFont="1" applyFill="1" applyBorder="1" applyAlignment="1">
      <alignment horizontal="center" wrapText="1"/>
    </xf>
    <xf numFmtId="49" fontId="2" fillId="36" borderId="33" xfId="0" applyNumberFormat="1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left" wrapText="1"/>
    </xf>
    <xf numFmtId="49" fontId="2" fillId="34" borderId="33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49" fontId="1" fillId="35" borderId="13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49" fontId="3" fillId="35" borderId="37" xfId="0" applyNumberFormat="1" applyFont="1" applyFill="1" applyBorder="1" applyAlignment="1">
      <alignment horizontal="center" wrapText="1"/>
    </xf>
    <xf numFmtId="49" fontId="3" fillId="35" borderId="38" xfId="0" applyNumberFormat="1" applyFont="1" applyFill="1" applyBorder="1" applyAlignment="1">
      <alignment horizont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2" fillId="35" borderId="38" xfId="0" applyNumberFormat="1" applyFont="1" applyFill="1" applyBorder="1" applyAlignment="1">
      <alignment horizontal="center" wrapText="1"/>
    </xf>
    <xf numFmtId="49" fontId="3" fillId="35" borderId="36" xfId="0" applyNumberFormat="1" applyFont="1" applyFill="1" applyBorder="1" applyAlignment="1">
      <alignment horizontal="center" wrapText="1"/>
    </xf>
    <xf numFmtId="49" fontId="1" fillId="35" borderId="39" xfId="0" applyNumberFormat="1" applyFont="1" applyFill="1" applyBorder="1" applyAlignment="1">
      <alignment horizontal="center" wrapText="1"/>
    </xf>
    <xf numFmtId="49" fontId="3" fillId="35" borderId="37" xfId="0" applyNumberFormat="1" applyFont="1" applyFill="1" applyBorder="1" applyAlignment="1">
      <alignment horizontal="center" wrapText="1"/>
    </xf>
    <xf numFmtId="49" fontId="1" fillId="35" borderId="39" xfId="0" applyNumberFormat="1" applyFont="1" applyFill="1" applyBorder="1" applyAlignment="1">
      <alignment horizontal="center" wrapText="1"/>
    </xf>
    <xf numFmtId="49" fontId="3" fillId="35" borderId="40" xfId="0" applyNumberFormat="1" applyFont="1" applyFill="1" applyBorder="1" applyAlignment="1">
      <alignment horizontal="center" wrapText="1"/>
    </xf>
    <xf numFmtId="49" fontId="3" fillId="35" borderId="23" xfId="0" applyNumberFormat="1" applyFont="1" applyFill="1" applyBorder="1" applyAlignment="1">
      <alignment horizontal="center" wrapText="1"/>
    </xf>
    <xf numFmtId="49" fontId="3" fillId="35" borderId="15" xfId="0" applyNumberFormat="1" applyFont="1" applyFill="1" applyBorder="1" applyAlignment="1">
      <alignment horizontal="left" wrapText="1"/>
    </xf>
    <xf numFmtId="49" fontId="1" fillId="36" borderId="41" xfId="0" applyNumberFormat="1" applyFont="1" applyFill="1" applyBorder="1" applyAlignment="1">
      <alignment horizontal="center" wrapText="1"/>
    </xf>
    <xf numFmtId="49" fontId="3" fillId="36" borderId="41" xfId="0" applyNumberFormat="1" applyFont="1" applyFill="1" applyBorder="1" applyAlignment="1">
      <alignment horizontal="center" wrapText="1"/>
    </xf>
    <xf numFmtId="0" fontId="2" fillId="35" borderId="35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9" fontId="2" fillId="36" borderId="42" xfId="0" applyNumberFormat="1" applyFont="1" applyFill="1" applyBorder="1" applyAlignment="1">
      <alignment horizontal="left" wrapText="1"/>
    </xf>
    <xf numFmtId="49" fontId="3" fillId="35" borderId="21" xfId="0" applyNumberFormat="1" applyFont="1" applyFill="1" applyBorder="1" applyAlignment="1">
      <alignment horizontal="center" wrapText="1"/>
    </xf>
    <xf numFmtId="49" fontId="3" fillId="35" borderId="43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wrapText="1"/>
    </xf>
    <xf numFmtId="49" fontId="3" fillId="35" borderId="39" xfId="0" applyNumberFormat="1" applyFont="1" applyFill="1" applyBorder="1" applyAlignment="1">
      <alignment horizontal="center" wrapText="1"/>
    </xf>
    <xf numFmtId="49" fontId="3" fillId="35" borderId="44" xfId="0" applyNumberFormat="1" applyFont="1" applyFill="1" applyBorder="1" applyAlignment="1">
      <alignment horizontal="center" wrapText="1"/>
    </xf>
    <xf numFmtId="49" fontId="3" fillId="35" borderId="45" xfId="0" applyNumberFormat="1" applyFont="1" applyFill="1" applyBorder="1" applyAlignment="1">
      <alignment horizontal="center" wrapText="1"/>
    </xf>
    <xf numFmtId="49" fontId="3" fillId="35" borderId="46" xfId="0" applyNumberFormat="1" applyFont="1" applyFill="1" applyBorder="1" applyAlignment="1">
      <alignment horizontal="center" wrapText="1"/>
    </xf>
    <xf numFmtId="49" fontId="3" fillId="35" borderId="29" xfId="0" applyNumberFormat="1" applyFont="1" applyFill="1" applyBorder="1" applyAlignment="1">
      <alignment horizontal="center" wrapText="1"/>
    </xf>
    <xf numFmtId="49" fontId="3" fillId="35" borderId="47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49" fontId="2" fillId="35" borderId="44" xfId="0" applyNumberFormat="1" applyFont="1" applyFill="1" applyBorder="1" applyAlignment="1">
      <alignment horizontal="center" wrapText="1"/>
    </xf>
    <xf numFmtId="49" fontId="2" fillId="35" borderId="47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3" fillId="35" borderId="27" xfId="0" applyNumberFormat="1" applyFont="1" applyFill="1" applyBorder="1" applyAlignment="1">
      <alignment horizontal="left" wrapText="1"/>
    </xf>
    <xf numFmtId="49" fontId="3" fillId="35" borderId="26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 wrapText="1"/>
    </xf>
    <xf numFmtId="49" fontId="67" fillId="37" borderId="12" xfId="0" applyNumberFormat="1" applyFont="1" applyFill="1" applyBorder="1" applyAlignment="1">
      <alignment horizontal="left" wrapText="1"/>
    </xf>
    <xf numFmtId="49" fontId="68" fillId="35" borderId="21" xfId="0" applyNumberFormat="1" applyFont="1" applyFill="1" applyBorder="1" applyAlignment="1">
      <alignment horizontal="center" wrapText="1"/>
    </xf>
    <xf numFmtId="49" fontId="1" fillId="36" borderId="41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left" wrapText="1"/>
    </xf>
    <xf numFmtId="49" fontId="69" fillId="37" borderId="13" xfId="0" applyNumberFormat="1" applyFont="1" applyFill="1" applyBorder="1" applyAlignment="1">
      <alignment horizontal="center" wrapText="1"/>
    </xf>
    <xf numFmtId="49" fontId="67" fillId="37" borderId="13" xfId="0" applyNumberFormat="1" applyFont="1" applyFill="1" applyBorder="1" applyAlignment="1">
      <alignment horizontal="center" wrapText="1"/>
    </xf>
    <xf numFmtId="49" fontId="69" fillId="37" borderId="48" xfId="0" applyNumberFormat="1" applyFont="1" applyFill="1" applyBorder="1" applyAlignment="1">
      <alignment horizontal="center" wrapText="1"/>
    </xf>
    <xf numFmtId="49" fontId="70" fillId="37" borderId="49" xfId="0" applyNumberFormat="1" applyFont="1" applyFill="1" applyBorder="1" applyAlignment="1">
      <alignment horizontal="center" wrapText="1"/>
    </xf>
    <xf numFmtId="49" fontId="70" fillId="37" borderId="33" xfId="0" applyNumberFormat="1" applyFont="1" applyFill="1" applyBorder="1" applyAlignment="1">
      <alignment horizontal="center" wrapText="1"/>
    </xf>
    <xf numFmtId="49" fontId="67" fillId="37" borderId="50" xfId="0" applyNumberFormat="1" applyFont="1" applyFill="1" applyBorder="1" applyAlignment="1">
      <alignment horizontal="left" wrapText="1"/>
    </xf>
    <xf numFmtId="49" fontId="69" fillId="37" borderId="51" xfId="0" applyNumberFormat="1" applyFont="1" applyFill="1" applyBorder="1" applyAlignment="1">
      <alignment horizontal="center" wrapText="1"/>
    </xf>
    <xf numFmtId="49" fontId="67" fillId="37" borderId="51" xfId="0" applyNumberFormat="1" applyFont="1" applyFill="1" applyBorder="1" applyAlignment="1">
      <alignment horizontal="center" wrapText="1"/>
    </xf>
    <xf numFmtId="49" fontId="69" fillId="37" borderId="38" xfId="0" applyNumberFormat="1" applyFont="1" applyFill="1" applyBorder="1" applyAlignment="1">
      <alignment horizontal="center" wrapText="1"/>
    </xf>
    <xf numFmtId="49" fontId="71" fillId="37" borderId="38" xfId="0" applyNumberFormat="1" applyFont="1" applyFill="1" applyBorder="1" applyAlignment="1">
      <alignment horizontal="center" wrapText="1"/>
    </xf>
    <xf numFmtId="49" fontId="70" fillId="37" borderId="38" xfId="0" applyNumberFormat="1" applyFont="1" applyFill="1" applyBorder="1" applyAlignment="1">
      <alignment horizontal="center" wrapText="1"/>
    </xf>
    <xf numFmtId="49" fontId="67" fillId="37" borderId="32" xfId="0" applyNumberFormat="1" applyFont="1" applyFill="1" applyBorder="1" applyAlignment="1">
      <alignment horizontal="left" wrapText="1"/>
    </xf>
    <xf numFmtId="49" fontId="69" fillId="37" borderId="33" xfId="0" applyNumberFormat="1" applyFont="1" applyFill="1" applyBorder="1" applyAlignment="1">
      <alignment horizontal="center" wrapText="1"/>
    </xf>
    <xf numFmtId="49" fontId="67" fillId="37" borderId="33" xfId="0" applyNumberFormat="1" applyFont="1" applyFill="1" applyBorder="1" applyAlignment="1">
      <alignment horizontal="center" wrapText="1"/>
    </xf>
    <xf numFmtId="49" fontId="1" fillId="35" borderId="45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35" borderId="23" xfId="0" applyNumberFormat="1" applyFont="1" applyFill="1" applyBorder="1" applyAlignment="1">
      <alignment horizontal="center" wrapText="1"/>
    </xf>
    <xf numFmtId="49" fontId="2" fillId="35" borderId="15" xfId="0" applyNumberFormat="1" applyFont="1" applyFill="1" applyBorder="1" applyAlignment="1">
      <alignment horizontal="left" wrapText="1"/>
    </xf>
    <xf numFmtId="49" fontId="1" fillId="35" borderId="14" xfId="0" applyNumberFormat="1" applyFont="1" applyFill="1" applyBorder="1" applyAlignment="1">
      <alignment horizontal="center" wrapText="1"/>
    </xf>
    <xf numFmtId="49" fontId="3" fillId="35" borderId="52" xfId="0" applyNumberFormat="1" applyFont="1" applyFill="1" applyBorder="1" applyAlignment="1">
      <alignment horizontal="left" wrapText="1"/>
    </xf>
    <xf numFmtId="49" fontId="2" fillId="37" borderId="12" xfId="0" applyNumberFormat="1" applyFont="1" applyFill="1" applyBorder="1" applyAlignment="1">
      <alignment horizontal="left" wrapText="1"/>
    </xf>
    <xf numFmtId="49" fontId="1" fillId="0" borderId="53" xfId="0" applyNumberFormat="1" applyFont="1" applyFill="1" applyBorder="1" applyAlignment="1">
      <alignment horizontal="center" wrapText="1"/>
    </xf>
    <xf numFmtId="49" fontId="1" fillId="35" borderId="29" xfId="0" applyNumberFormat="1" applyFont="1" applyFill="1" applyBorder="1" applyAlignment="1">
      <alignment horizontal="center" wrapText="1"/>
    </xf>
    <xf numFmtId="49" fontId="2" fillId="35" borderId="29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0" fontId="2" fillId="0" borderId="35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left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0" fontId="2" fillId="35" borderId="22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1" fillId="35" borderId="56" xfId="0" applyNumberFormat="1" applyFont="1" applyFill="1" applyBorder="1" applyAlignment="1">
      <alignment horizontal="center" wrapText="1"/>
    </xf>
    <xf numFmtId="49" fontId="3" fillId="35" borderId="56" xfId="0" applyNumberFormat="1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 wrapText="1"/>
    </xf>
    <xf numFmtId="49" fontId="2" fillId="35" borderId="14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left" wrapText="1"/>
    </xf>
    <xf numFmtId="49" fontId="2" fillId="35" borderId="35" xfId="0" applyNumberFormat="1" applyFont="1" applyFill="1" applyBorder="1" applyAlignment="1">
      <alignment horizontal="left" wrapText="1"/>
    </xf>
    <xf numFmtId="49" fontId="3" fillId="35" borderId="54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0" fontId="3" fillId="35" borderId="24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3" fillId="0" borderId="58" xfId="0" applyNumberFormat="1" applyFont="1" applyFill="1" applyBorder="1" applyAlignment="1">
      <alignment horizontal="center" wrapText="1"/>
    </xf>
    <xf numFmtId="49" fontId="3" fillId="35" borderId="58" xfId="0" applyNumberFormat="1" applyFont="1" applyFill="1" applyBorder="1" applyAlignment="1">
      <alignment horizontal="center" wrapText="1"/>
    </xf>
    <xf numFmtId="49" fontId="3" fillId="35" borderId="22" xfId="0" applyNumberFormat="1" applyFont="1" applyFill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49" fontId="3" fillId="35" borderId="59" xfId="0" applyNumberFormat="1" applyFont="1" applyFill="1" applyBorder="1" applyAlignment="1">
      <alignment horizontal="center" wrapText="1"/>
    </xf>
    <xf numFmtId="49" fontId="3" fillId="35" borderId="35" xfId="0" applyNumberFormat="1" applyFont="1" applyFill="1" applyBorder="1" applyAlignment="1">
      <alignment horizontal="left" wrapText="1"/>
    </xf>
    <xf numFmtId="0" fontId="0" fillId="38" borderId="0" xfId="0" applyFont="1" applyFill="1" applyAlignment="1">
      <alignment/>
    </xf>
    <xf numFmtId="178" fontId="0" fillId="38" borderId="0" xfId="0" applyNumberFormat="1" applyFont="1" applyFill="1" applyAlignment="1">
      <alignment/>
    </xf>
    <xf numFmtId="0" fontId="72" fillId="38" borderId="0" xfId="0" applyFont="1" applyFill="1" applyAlignment="1">
      <alignment/>
    </xf>
    <xf numFmtId="178" fontId="0" fillId="38" borderId="0" xfId="0" applyNumberFormat="1" applyFont="1" applyFill="1" applyBorder="1" applyAlignment="1">
      <alignment/>
    </xf>
    <xf numFmtId="178" fontId="64" fillId="38" borderId="0" xfId="0" applyNumberFormat="1" applyFont="1" applyFill="1" applyBorder="1" applyAlignment="1">
      <alignment horizontal="right"/>
    </xf>
    <xf numFmtId="178" fontId="63" fillId="38" borderId="0" xfId="0" applyNumberFormat="1" applyFont="1" applyFill="1" applyBorder="1" applyAlignment="1">
      <alignment horizontal="right"/>
    </xf>
    <xf numFmtId="49" fontId="0" fillId="38" borderId="0" xfId="0" applyNumberFormat="1" applyFont="1" applyFill="1" applyAlignment="1">
      <alignment wrapText="1"/>
    </xf>
    <xf numFmtId="49" fontId="3" fillId="35" borderId="60" xfId="0" applyNumberFormat="1" applyFont="1" applyFill="1" applyBorder="1" applyAlignment="1">
      <alignment horizontal="center" wrapText="1"/>
    </xf>
    <xf numFmtId="178" fontId="1" fillId="39" borderId="0" xfId="0" applyNumberFormat="1" applyFont="1" applyFill="1" applyBorder="1" applyAlignment="1">
      <alignment horizontal="right"/>
    </xf>
    <xf numFmtId="49" fontId="3" fillId="35" borderId="20" xfId="0" applyNumberFormat="1" applyFont="1" applyFill="1" applyBorder="1" applyAlignment="1">
      <alignment horizontal="left" wrapText="1"/>
    </xf>
    <xf numFmtId="0" fontId="0" fillId="40" borderId="0" xfId="0" applyFont="1" applyFill="1" applyAlignment="1">
      <alignment/>
    </xf>
    <xf numFmtId="49" fontId="68" fillId="35" borderId="37" xfId="0" applyNumberFormat="1" applyFont="1" applyFill="1" applyBorder="1" applyAlignment="1">
      <alignment horizontal="center" wrapText="1"/>
    </xf>
    <xf numFmtId="49" fontId="1" fillId="35" borderId="61" xfId="0" applyNumberFormat="1" applyFont="1" applyFill="1" applyBorder="1" applyAlignment="1">
      <alignment horizontal="center" wrapText="1"/>
    </xf>
    <xf numFmtId="49" fontId="3" fillId="35" borderId="61" xfId="0" applyNumberFormat="1" applyFont="1" applyFill="1" applyBorder="1" applyAlignment="1">
      <alignment horizontal="center" wrapText="1"/>
    </xf>
    <xf numFmtId="49" fontId="3" fillId="35" borderId="62" xfId="0" applyNumberFormat="1" applyFont="1" applyFill="1" applyBorder="1" applyAlignment="1">
      <alignment horizontal="center" wrapText="1"/>
    </xf>
    <xf numFmtId="0" fontId="2" fillId="0" borderId="63" xfId="0" applyNumberFormat="1" applyFont="1" applyFill="1" applyBorder="1" applyAlignment="1">
      <alignment horizontal="left" wrapText="1"/>
    </xf>
    <xf numFmtId="49" fontId="1" fillId="0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Fill="1" applyBorder="1" applyAlignment="1">
      <alignment horizontal="center" wrapText="1"/>
    </xf>
    <xf numFmtId="178" fontId="73" fillId="38" borderId="0" xfId="0" applyNumberFormat="1" applyFont="1" applyFill="1" applyBorder="1" applyAlignment="1">
      <alignment horizontal="right"/>
    </xf>
    <xf numFmtId="49" fontId="12" fillId="0" borderId="65" xfId="0" applyNumberFormat="1" applyFont="1" applyFill="1" applyBorder="1" applyAlignment="1">
      <alignment horizontal="left" wrapText="1"/>
    </xf>
    <xf numFmtId="49" fontId="13" fillId="0" borderId="66" xfId="0" applyNumberFormat="1" applyFont="1" applyFill="1" applyBorder="1" applyAlignment="1">
      <alignment horizontal="center" wrapText="1"/>
    </xf>
    <xf numFmtId="49" fontId="67" fillId="37" borderId="67" xfId="0" applyNumberFormat="1" applyFont="1" applyFill="1" applyBorder="1" applyAlignment="1">
      <alignment horizontal="left" wrapText="1"/>
    </xf>
    <xf numFmtId="49" fontId="2" fillId="35" borderId="68" xfId="0" applyNumberFormat="1" applyFont="1" applyFill="1" applyBorder="1" applyAlignment="1">
      <alignment horizontal="left" wrapText="1"/>
    </xf>
    <xf numFmtId="49" fontId="2" fillId="35" borderId="69" xfId="0" applyNumberFormat="1" applyFont="1" applyFill="1" applyBorder="1" applyAlignment="1">
      <alignment horizontal="left" wrapText="1"/>
    </xf>
    <xf numFmtId="49" fontId="3" fillId="35" borderId="70" xfId="0" applyNumberFormat="1" applyFont="1" applyFill="1" applyBorder="1" applyAlignment="1">
      <alignment horizontal="left" wrapText="1"/>
    </xf>
    <xf numFmtId="49" fontId="2" fillId="35" borderId="71" xfId="0" applyNumberFormat="1" applyFont="1" applyFill="1" applyBorder="1" applyAlignment="1">
      <alignment horizontal="left" wrapText="1"/>
    </xf>
    <xf numFmtId="49" fontId="2" fillId="35" borderId="72" xfId="0" applyNumberFormat="1" applyFont="1" applyFill="1" applyBorder="1" applyAlignment="1">
      <alignment horizontal="left" wrapText="1"/>
    </xf>
    <xf numFmtId="49" fontId="3" fillId="35" borderId="72" xfId="0" applyNumberFormat="1" applyFont="1" applyFill="1" applyBorder="1" applyAlignment="1">
      <alignment horizontal="left" wrapText="1"/>
    </xf>
    <xf numFmtId="49" fontId="3" fillId="35" borderId="73" xfId="0" applyNumberFormat="1" applyFont="1" applyFill="1" applyBorder="1" applyAlignment="1">
      <alignment horizontal="left" wrapText="1"/>
    </xf>
    <xf numFmtId="49" fontId="3" fillId="0" borderId="70" xfId="0" applyNumberFormat="1" applyFont="1" applyFill="1" applyBorder="1" applyAlignment="1">
      <alignment horizontal="left" wrapText="1"/>
    </xf>
    <xf numFmtId="49" fontId="67" fillId="37" borderId="72" xfId="0" applyNumberFormat="1" applyFont="1" applyFill="1" applyBorder="1" applyAlignment="1">
      <alignment horizontal="left" wrapText="1"/>
    </xf>
    <xf numFmtId="49" fontId="3" fillId="35" borderId="70" xfId="0" applyNumberFormat="1" applyFont="1" applyFill="1" applyBorder="1" applyAlignment="1">
      <alignment horizontal="left" vertical="center" wrapText="1"/>
    </xf>
    <xf numFmtId="49" fontId="2" fillId="0" borderId="74" xfId="0" applyNumberFormat="1" applyFont="1" applyBorder="1" applyAlignment="1">
      <alignment horizontal="left" wrapText="1"/>
    </xf>
    <xf numFmtId="49" fontId="2" fillId="0" borderId="75" xfId="0" applyNumberFormat="1" applyFont="1" applyBorder="1" applyAlignment="1">
      <alignment horizontal="left" wrapText="1"/>
    </xf>
    <xf numFmtId="49" fontId="3" fillId="35" borderId="70" xfId="0" applyNumberFormat="1" applyFont="1" applyFill="1" applyBorder="1" applyAlignment="1">
      <alignment horizontal="left" vertical="justify" wrapText="1"/>
    </xf>
    <xf numFmtId="0" fontId="2" fillId="0" borderId="76" xfId="0" applyFont="1" applyBorder="1" applyAlignment="1">
      <alignment wrapText="1"/>
    </xf>
    <xf numFmtId="49" fontId="3" fillId="35" borderId="70" xfId="0" applyNumberFormat="1" applyFont="1" applyFill="1" applyBorder="1" applyAlignment="1">
      <alignment horizontal="left" vertical="center" wrapText="1"/>
    </xf>
    <xf numFmtId="0" fontId="74" fillId="41" borderId="0" xfId="0" applyFont="1" applyFill="1" applyAlignment="1">
      <alignment/>
    </xf>
    <xf numFmtId="0" fontId="2" fillId="35" borderId="76" xfId="0" applyFont="1" applyFill="1" applyBorder="1" applyAlignment="1">
      <alignment wrapText="1"/>
    </xf>
    <xf numFmtId="49" fontId="3" fillId="35" borderId="77" xfId="0" applyNumberFormat="1" applyFont="1" applyFill="1" applyBorder="1" applyAlignment="1">
      <alignment horizontal="left" wrapText="1"/>
    </xf>
    <xf numFmtId="49" fontId="68" fillId="35" borderId="77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35" borderId="69" xfId="0" applyNumberFormat="1" applyFont="1" applyFill="1" applyBorder="1" applyAlignment="1">
      <alignment horizontal="left" wrapText="1"/>
    </xf>
    <xf numFmtId="0" fontId="2" fillId="35" borderId="78" xfId="0" applyNumberFormat="1" applyFont="1" applyFill="1" applyBorder="1" applyAlignment="1">
      <alignment horizontal="left" wrapText="1"/>
    </xf>
    <xf numFmtId="49" fontId="1" fillId="35" borderId="79" xfId="0" applyNumberFormat="1" applyFont="1" applyFill="1" applyBorder="1" applyAlignment="1">
      <alignment horizontal="center" wrapText="1"/>
    </xf>
    <xf numFmtId="178" fontId="0" fillId="35" borderId="0" xfId="0" applyNumberFormat="1" applyFont="1" applyFill="1" applyAlignment="1">
      <alignment/>
    </xf>
    <xf numFmtId="49" fontId="68" fillId="35" borderId="80" xfId="0" applyNumberFormat="1" applyFont="1" applyFill="1" applyBorder="1" applyAlignment="1">
      <alignment horizontal="left" wrapText="1"/>
    </xf>
    <xf numFmtId="49" fontId="68" fillId="35" borderId="38" xfId="0" applyNumberFormat="1" applyFont="1" applyFill="1" applyBorder="1" applyAlignment="1">
      <alignment horizontal="center" wrapText="1"/>
    </xf>
    <xf numFmtId="178" fontId="75" fillId="0" borderId="33" xfId="0" applyNumberFormat="1" applyFont="1" applyFill="1" applyBorder="1" applyAlignment="1">
      <alignment horizontal="right"/>
    </xf>
    <xf numFmtId="178" fontId="75" fillId="0" borderId="81" xfId="0" applyNumberFormat="1" applyFont="1" applyFill="1" applyBorder="1" applyAlignment="1">
      <alignment horizontal="right"/>
    </xf>
    <xf numFmtId="178" fontId="73" fillId="35" borderId="23" xfId="0" applyNumberFormat="1" applyFont="1" applyFill="1" applyBorder="1" applyAlignment="1">
      <alignment horizontal="right" wrapText="1"/>
    </xf>
    <xf numFmtId="178" fontId="73" fillId="35" borderId="25" xfId="0" applyNumberFormat="1" applyFont="1" applyFill="1" applyBorder="1" applyAlignment="1">
      <alignment horizontal="right" wrapText="1"/>
    </xf>
    <xf numFmtId="178" fontId="73" fillId="35" borderId="58" xfId="0" applyNumberFormat="1" applyFont="1" applyFill="1" applyBorder="1" applyAlignment="1">
      <alignment horizontal="right" wrapText="1"/>
    </xf>
    <xf numFmtId="178" fontId="73" fillId="35" borderId="21" xfId="0" applyNumberFormat="1" applyFont="1" applyFill="1" applyBorder="1" applyAlignment="1">
      <alignment horizontal="right" wrapText="1"/>
    </xf>
    <xf numFmtId="178" fontId="73" fillId="35" borderId="38" xfId="0" applyNumberFormat="1" applyFont="1" applyFill="1" applyBorder="1" applyAlignment="1">
      <alignment horizontal="right" wrapText="1"/>
    </xf>
    <xf numFmtId="178" fontId="73" fillId="35" borderId="82" xfId="0" applyNumberFormat="1" applyFont="1" applyFill="1" applyBorder="1" applyAlignment="1">
      <alignment horizontal="right" wrapText="1"/>
    </xf>
    <xf numFmtId="178" fontId="73" fillId="35" borderId="37" xfId="0" applyNumberFormat="1" applyFont="1" applyFill="1" applyBorder="1" applyAlignment="1">
      <alignment horizontal="right" wrapText="1"/>
    </xf>
    <xf numFmtId="178" fontId="73" fillId="35" borderId="83" xfId="0" applyNumberFormat="1" applyFont="1" applyFill="1" applyBorder="1" applyAlignment="1">
      <alignment horizontal="right" wrapText="1"/>
    </xf>
    <xf numFmtId="178" fontId="75" fillId="35" borderId="13" xfId="0" applyNumberFormat="1" applyFont="1" applyFill="1" applyBorder="1" applyAlignment="1">
      <alignment horizontal="right"/>
    </xf>
    <xf numFmtId="178" fontId="75" fillId="35" borderId="84" xfId="0" applyNumberFormat="1" applyFont="1" applyFill="1" applyBorder="1" applyAlignment="1">
      <alignment horizontal="right"/>
    </xf>
    <xf numFmtId="178" fontId="73" fillId="35" borderId="14" xfId="0" applyNumberFormat="1" applyFont="1" applyFill="1" applyBorder="1" applyAlignment="1">
      <alignment horizontal="right"/>
    </xf>
    <xf numFmtId="178" fontId="73" fillId="35" borderId="85" xfId="0" applyNumberFormat="1" applyFont="1" applyFill="1" applyBorder="1" applyAlignment="1">
      <alignment horizontal="right"/>
    </xf>
    <xf numFmtId="178" fontId="73" fillId="35" borderId="19" xfId="0" applyNumberFormat="1" applyFont="1" applyFill="1" applyBorder="1" applyAlignment="1">
      <alignment horizontal="right"/>
    </xf>
    <xf numFmtId="178" fontId="73" fillId="35" borderId="86" xfId="0" applyNumberFormat="1" applyFont="1" applyFill="1" applyBorder="1" applyAlignment="1">
      <alignment horizontal="right"/>
    </xf>
    <xf numFmtId="178" fontId="75" fillId="0" borderId="13" xfId="0" applyNumberFormat="1" applyFont="1" applyFill="1" applyBorder="1" applyAlignment="1">
      <alignment horizontal="right"/>
    </xf>
    <xf numFmtId="178" fontId="73" fillId="35" borderId="26" xfId="0" applyNumberFormat="1" applyFont="1" applyFill="1" applyBorder="1" applyAlignment="1">
      <alignment horizontal="right" wrapText="1"/>
    </xf>
    <xf numFmtId="178" fontId="73" fillId="35" borderId="23" xfId="0" applyNumberFormat="1" applyFont="1" applyFill="1" applyBorder="1" applyAlignment="1">
      <alignment horizontal="right"/>
    </xf>
    <xf numFmtId="178" fontId="73" fillId="35" borderId="25" xfId="0" applyNumberFormat="1" applyFont="1" applyFill="1" applyBorder="1" applyAlignment="1">
      <alignment horizontal="right"/>
    </xf>
    <xf numFmtId="178" fontId="73" fillId="35" borderId="17" xfId="0" applyNumberFormat="1" applyFont="1" applyFill="1" applyBorder="1" applyAlignment="1">
      <alignment horizontal="right" wrapText="1"/>
    </xf>
    <xf numFmtId="178" fontId="73" fillId="35" borderId="26" xfId="0" applyNumberFormat="1" applyFont="1" applyFill="1" applyBorder="1" applyAlignment="1">
      <alignment horizontal="right"/>
    </xf>
    <xf numFmtId="178" fontId="73" fillId="35" borderId="87" xfId="0" applyNumberFormat="1" applyFont="1" applyFill="1" applyBorder="1" applyAlignment="1">
      <alignment horizontal="right"/>
    </xf>
    <xf numFmtId="178" fontId="73" fillId="35" borderId="58" xfId="0" applyNumberFormat="1" applyFont="1" applyFill="1" applyBorder="1" applyAlignment="1">
      <alignment horizontal="right"/>
    </xf>
    <xf numFmtId="178" fontId="73" fillId="35" borderId="21" xfId="0" applyNumberFormat="1" applyFont="1" applyFill="1" applyBorder="1" applyAlignment="1">
      <alignment horizontal="right"/>
    </xf>
    <xf numFmtId="178" fontId="73" fillId="35" borderId="88" xfId="0" applyNumberFormat="1" applyFont="1" applyFill="1" applyBorder="1" applyAlignment="1">
      <alignment horizontal="right"/>
    </xf>
    <xf numFmtId="178" fontId="73" fillId="35" borderId="14" xfId="0" applyNumberFormat="1" applyFont="1" applyFill="1" applyBorder="1" applyAlignment="1">
      <alignment horizontal="right" wrapText="1"/>
    </xf>
    <xf numFmtId="178" fontId="73" fillId="35" borderId="19" xfId="0" applyNumberFormat="1" applyFont="1" applyFill="1" applyBorder="1" applyAlignment="1">
      <alignment horizontal="right" wrapText="1"/>
    </xf>
    <xf numFmtId="178" fontId="75" fillId="37" borderId="13" xfId="0" applyNumberFormat="1" applyFont="1" applyFill="1" applyBorder="1" applyAlignment="1">
      <alignment horizontal="right"/>
    </xf>
    <xf numFmtId="178" fontId="76" fillId="0" borderId="66" xfId="0" applyNumberFormat="1" applyFont="1" applyFill="1" applyBorder="1" applyAlignment="1">
      <alignment horizontal="right"/>
    </xf>
    <xf numFmtId="178" fontId="76" fillId="0" borderId="89" xfId="0" applyNumberFormat="1" applyFont="1" applyFill="1" applyBorder="1" applyAlignment="1">
      <alignment horizontal="right"/>
    </xf>
    <xf numFmtId="178" fontId="75" fillId="36" borderId="33" xfId="0" applyNumberFormat="1" applyFont="1" applyFill="1" applyBorder="1" applyAlignment="1">
      <alignment horizontal="right"/>
    </xf>
    <xf numFmtId="178" fontId="75" fillId="36" borderId="81" xfId="0" applyNumberFormat="1" applyFont="1" applyFill="1" applyBorder="1" applyAlignment="1">
      <alignment horizontal="right"/>
    </xf>
    <xf numFmtId="178" fontId="75" fillId="34" borderId="13" xfId="0" applyNumberFormat="1" applyFont="1" applyFill="1" applyBorder="1" applyAlignment="1">
      <alignment horizontal="right"/>
    </xf>
    <xf numFmtId="178" fontId="75" fillId="34" borderId="84" xfId="0" applyNumberFormat="1" applyFont="1" applyFill="1" applyBorder="1" applyAlignment="1">
      <alignment horizontal="right"/>
    </xf>
    <xf numFmtId="178" fontId="75" fillId="37" borderId="84" xfId="0" applyNumberFormat="1" applyFont="1" applyFill="1" applyBorder="1" applyAlignment="1">
      <alignment horizontal="right"/>
    </xf>
    <xf numFmtId="178" fontId="75" fillId="35" borderId="14" xfId="0" applyNumberFormat="1" applyFont="1" applyFill="1" applyBorder="1" applyAlignment="1">
      <alignment horizontal="right"/>
    </xf>
    <xf numFmtId="178" fontId="75" fillId="35" borderId="85" xfId="0" applyNumberFormat="1" applyFont="1" applyFill="1" applyBorder="1" applyAlignment="1">
      <alignment horizontal="right"/>
    </xf>
    <xf numFmtId="178" fontId="73" fillId="0" borderId="58" xfId="0" applyNumberFormat="1" applyFont="1" applyFill="1" applyBorder="1" applyAlignment="1">
      <alignment horizontal="right"/>
    </xf>
    <xf numFmtId="178" fontId="73" fillId="35" borderId="90" xfId="0" applyNumberFormat="1" applyFont="1" applyFill="1" applyBorder="1" applyAlignment="1">
      <alignment horizontal="right"/>
    </xf>
    <xf numFmtId="178" fontId="75" fillId="36" borderId="41" xfId="0" applyNumberFormat="1" applyFont="1" applyFill="1" applyBorder="1" applyAlignment="1">
      <alignment horizontal="right"/>
    </xf>
    <xf numFmtId="178" fontId="75" fillId="37" borderId="33" xfId="0" applyNumberFormat="1" applyFont="1" applyFill="1" applyBorder="1" applyAlignment="1">
      <alignment horizontal="right"/>
    </xf>
    <xf numFmtId="178" fontId="75" fillId="37" borderId="81" xfId="0" applyNumberFormat="1" applyFont="1" applyFill="1" applyBorder="1" applyAlignment="1">
      <alignment horizontal="right"/>
    </xf>
    <xf numFmtId="178" fontId="75" fillId="35" borderId="29" xfId="0" applyNumberFormat="1" applyFont="1" applyFill="1" applyBorder="1" applyAlignment="1">
      <alignment horizontal="right"/>
    </xf>
    <xf numFmtId="178" fontId="75" fillId="35" borderId="91" xfId="0" applyNumberFormat="1" applyFont="1" applyFill="1" applyBorder="1" applyAlignment="1">
      <alignment horizontal="right"/>
    </xf>
    <xf numFmtId="178" fontId="73" fillId="35" borderId="54" xfId="0" applyNumberFormat="1" applyFont="1" applyFill="1" applyBorder="1" applyAlignment="1">
      <alignment horizontal="right"/>
    </xf>
    <xf numFmtId="178" fontId="73" fillId="35" borderId="92" xfId="0" applyNumberFormat="1" applyFont="1" applyFill="1" applyBorder="1" applyAlignment="1">
      <alignment horizontal="right"/>
    </xf>
    <xf numFmtId="178" fontId="75" fillId="35" borderId="61" xfId="0" applyNumberFormat="1" applyFont="1" applyFill="1" applyBorder="1" applyAlignment="1">
      <alignment horizontal="right"/>
    </xf>
    <xf numFmtId="178" fontId="75" fillId="35" borderId="93" xfId="0" applyNumberFormat="1" applyFont="1" applyFill="1" applyBorder="1" applyAlignment="1">
      <alignment horizontal="right"/>
    </xf>
    <xf numFmtId="178" fontId="73" fillId="35" borderId="37" xfId="0" applyNumberFormat="1" applyFont="1" applyFill="1" applyBorder="1" applyAlignment="1">
      <alignment horizontal="right"/>
    </xf>
    <xf numFmtId="178" fontId="73" fillId="35" borderId="83" xfId="0" applyNumberFormat="1" applyFont="1" applyFill="1" applyBorder="1" applyAlignment="1">
      <alignment horizontal="right"/>
    </xf>
    <xf numFmtId="178" fontId="75" fillId="35" borderId="56" xfId="0" applyNumberFormat="1" applyFont="1" applyFill="1" applyBorder="1" applyAlignment="1">
      <alignment horizontal="right"/>
    </xf>
    <xf numFmtId="178" fontId="75" fillId="35" borderId="94" xfId="0" applyNumberFormat="1" applyFont="1" applyFill="1" applyBorder="1" applyAlignment="1">
      <alignment horizontal="right"/>
    </xf>
    <xf numFmtId="178" fontId="73" fillId="35" borderId="61" xfId="0" applyNumberFormat="1" applyFont="1" applyFill="1" applyBorder="1" applyAlignment="1">
      <alignment horizontal="right"/>
    </xf>
    <xf numFmtId="178" fontId="73" fillId="35" borderId="93" xfId="0" applyNumberFormat="1" applyFont="1" applyFill="1" applyBorder="1" applyAlignment="1">
      <alignment horizontal="right"/>
    </xf>
    <xf numFmtId="178" fontId="75" fillId="0" borderId="84" xfId="0" applyNumberFormat="1" applyFont="1" applyFill="1" applyBorder="1" applyAlignment="1">
      <alignment horizontal="right"/>
    </xf>
    <xf numFmtId="178" fontId="73" fillId="35" borderId="95" xfId="0" applyNumberFormat="1" applyFont="1" applyFill="1" applyBorder="1" applyAlignment="1">
      <alignment horizontal="right"/>
    </xf>
    <xf numFmtId="178" fontId="73" fillId="0" borderId="25" xfId="0" applyNumberFormat="1" applyFont="1" applyFill="1" applyBorder="1" applyAlignment="1">
      <alignment horizontal="right"/>
    </xf>
    <xf numFmtId="178" fontId="73" fillId="0" borderId="88" xfId="0" applyNumberFormat="1" applyFont="1" applyFill="1" applyBorder="1" applyAlignment="1">
      <alignment horizontal="right"/>
    </xf>
    <xf numFmtId="178" fontId="73" fillId="0" borderId="21" xfId="0" applyNumberFormat="1" applyFont="1" applyFill="1" applyBorder="1" applyAlignment="1">
      <alignment horizontal="right"/>
    </xf>
    <xf numFmtId="178" fontId="73" fillId="0" borderId="96" xfId="0" applyNumberFormat="1" applyFont="1" applyFill="1" applyBorder="1" applyAlignment="1">
      <alignment horizontal="right"/>
    </xf>
    <xf numFmtId="178" fontId="73" fillId="35" borderId="34" xfId="0" applyNumberFormat="1" applyFont="1" applyFill="1" applyBorder="1" applyAlignment="1">
      <alignment horizontal="right"/>
    </xf>
    <xf numFmtId="178" fontId="73" fillId="35" borderId="97" xfId="0" applyNumberFormat="1" applyFont="1" applyFill="1" applyBorder="1" applyAlignment="1">
      <alignment horizontal="right"/>
    </xf>
    <xf numFmtId="178" fontId="73" fillId="35" borderId="87" xfId="0" applyNumberFormat="1" applyFont="1" applyFill="1" applyBorder="1" applyAlignment="1">
      <alignment horizontal="right" wrapText="1"/>
    </xf>
    <xf numFmtId="178" fontId="73" fillId="35" borderId="88" xfId="0" applyNumberFormat="1" applyFont="1" applyFill="1" applyBorder="1" applyAlignment="1">
      <alignment horizontal="right" wrapText="1"/>
    </xf>
    <xf numFmtId="178" fontId="73" fillId="35" borderId="96" xfId="0" applyNumberFormat="1" applyFont="1" applyFill="1" applyBorder="1" applyAlignment="1">
      <alignment horizontal="right" wrapText="1"/>
    </xf>
    <xf numFmtId="178" fontId="75" fillId="35" borderId="38" xfId="0" applyNumberFormat="1" applyFont="1" applyFill="1" applyBorder="1" applyAlignment="1">
      <alignment horizontal="right"/>
    </xf>
    <xf numFmtId="178" fontId="75" fillId="35" borderId="82" xfId="0" applyNumberFormat="1" applyFont="1" applyFill="1" applyBorder="1" applyAlignment="1">
      <alignment horizontal="right"/>
    </xf>
    <xf numFmtId="178" fontId="73" fillId="35" borderId="38" xfId="0" applyNumberFormat="1" applyFont="1" applyFill="1" applyBorder="1" applyAlignment="1">
      <alignment horizontal="right"/>
    </xf>
    <xf numFmtId="178" fontId="73" fillId="35" borderId="82" xfId="0" applyNumberFormat="1" applyFont="1" applyFill="1" applyBorder="1" applyAlignment="1">
      <alignment horizontal="right"/>
    </xf>
    <xf numFmtId="178" fontId="73" fillId="35" borderId="96" xfId="0" applyNumberFormat="1" applyFont="1" applyFill="1" applyBorder="1" applyAlignment="1">
      <alignment horizontal="right"/>
    </xf>
    <xf numFmtId="178" fontId="73" fillId="0" borderId="36" xfId="0" applyNumberFormat="1" applyFont="1" applyFill="1" applyBorder="1" applyAlignment="1">
      <alignment horizontal="right"/>
    </xf>
    <xf numFmtId="178" fontId="73" fillId="0" borderId="98" xfId="0" applyNumberFormat="1" applyFont="1" applyFill="1" applyBorder="1" applyAlignment="1">
      <alignment horizontal="right"/>
    </xf>
    <xf numFmtId="178" fontId="75" fillId="35" borderId="51" xfId="0" applyNumberFormat="1" applyFont="1" applyFill="1" applyBorder="1" applyAlignment="1">
      <alignment horizontal="right"/>
    </xf>
    <xf numFmtId="178" fontId="75" fillId="35" borderId="99" xfId="0" applyNumberFormat="1" applyFont="1" applyFill="1" applyBorder="1" applyAlignment="1">
      <alignment horizontal="right"/>
    </xf>
    <xf numFmtId="178" fontId="73" fillId="35" borderId="40" xfId="0" applyNumberFormat="1" applyFont="1" applyFill="1" applyBorder="1" applyAlignment="1">
      <alignment horizontal="right"/>
    </xf>
    <xf numFmtId="178" fontId="73" fillId="35" borderId="17" xfId="0" applyNumberFormat="1" applyFont="1" applyFill="1" applyBorder="1" applyAlignment="1">
      <alignment horizontal="right"/>
    </xf>
    <xf numFmtId="178" fontId="73" fillId="35" borderId="100" xfId="0" applyNumberFormat="1" applyFont="1" applyFill="1" applyBorder="1" applyAlignment="1">
      <alignment horizontal="right"/>
    </xf>
    <xf numFmtId="178" fontId="75" fillId="35" borderId="23" xfId="0" applyNumberFormat="1" applyFont="1" applyFill="1" applyBorder="1" applyAlignment="1">
      <alignment horizontal="right"/>
    </xf>
    <xf numFmtId="178" fontId="75" fillId="35" borderId="95" xfId="0" applyNumberFormat="1" applyFont="1" applyFill="1" applyBorder="1" applyAlignment="1">
      <alignment horizontal="right"/>
    </xf>
    <xf numFmtId="178" fontId="73" fillId="35" borderId="62" xfId="0" applyNumberFormat="1" applyFont="1" applyFill="1" applyBorder="1" applyAlignment="1">
      <alignment horizontal="right"/>
    </xf>
    <xf numFmtId="178" fontId="73" fillId="35" borderId="101" xfId="0" applyNumberFormat="1" applyFont="1" applyFill="1" applyBorder="1" applyAlignment="1">
      <alignment horizontal="right"/>
    </xf>
    <xf numFmtId="178" fontId="75" fillId="35" borderId="26" xfId="0" applyNumberFormat="1" applyFont="1" applyFill="1" applyBorder="1" applyAlignment="1">
      <alignment horizontal="right"/>
    </xf>
    <xf numFmtId="178" fontId="75" fillId="35" borderId="87" xfId="0" applyNumberFormat="1" applyFont="1" applyFill="1" applyBorder="1" applyAlignment="1">
      <alignment horizontal="right"/>
    </xf>
    <xf numFmtId="178" fontId="75" fillId="35" borderId="64" xfId="0" applyNumberFormat="1" applyFont="1" applyFill="1" applyBorder="1" applyAlignment="1">
      <alignment horizontal="right"/>
    </xf>
    <xf numFmtId="178" fontId="75" fillId="35" borderId="102" xfId="0" applyNumberFormat="1" applyFont="1" applyFill="1" applyBorder="1" applyAlignment="1">
      <alignment horizontal="right"/>
    </xf>
    <xf numFmtId="178" fontId="73" fillId="0" borderId="19" xfId="0" applyNumberFormat="1" applyFont="1" applyFill="1" applyBorder="1" applyAlignment="1">
      <alignment horizontal="right"/>
    </xf>
    <xf numFmtId="178" fontId="73" fillId="0" borderId="86" xfId="0" applyNumberFormat="1" applyFont="1" applyFill="1" applyBorder="1" applyAlignment="1">
      <alignment horizontal="right"/>
    </xf>
    <xf numFmtId="178" fontId="73" fillId="35" borderId="103" xfId="0" applyNumberFormat="1" applyFont="1" applyFill="1" applyBorder="1" applyAlignment="1">
      <alignment horizontal="right"/>
    </xf>
    <xf numFmtId="178" fontId="73" fillId="35" borderId="104" xfId="0" applyNumberFormat="1" applyFont="1" applyFill="1" applyBorder="1" applyAlignment="1">
      <alignment horizontal="right"/>
    </xf>
    <xf numFmtId="178" fontId="75" fillId="37" borderId="38" xfId="0" applyNumberFormat="1" applyFont="1" applyFill="1" applyBorder="1" applyAlignment="1">
      <alignment horizontal="right"/>
    </xf>
    <xf numFmtId="178" fontId="75" fillId="0" borderId="38" xfId="0" applyNumberFormat="1" applyFont="1" applyFill="1" applyBorder="1" applyAlignment="1">
      <alignment horizontal="right"/>
    </xf>
    <xf numFmtId="178" fontId="75" fillId="0" borderId="82" xfId="0" applyNumberFormat="1" applyFont="1" applyFill="1" applyBorder="1" applyAlignment="1">
      <alignment horizontal="right"/>
    </xf>
    <xf numFmtId="178" fontId="73" fillId="0" borderId="37" xfId="0" applyNumberFormat="1" applyFont="1" applyFill="1" applyBorder="1" applyAlignment="1">
      <alignment horizontal="right"/>
    </xf>
    <xf numFmtId="178" fontId="75" fillId="36" borderId="13" xfId="0" applyNumberFormat="1" applyFont="1" applyFill="1" applyBorder="1" applyAlignment="1">
      <alignment horizontal="right"/>
    </xf>
    <xf numFmtId="178" fontId="75" fillId="34" borderId="14" xfId="0" applyNumberFormat="1" applyFont="1" applyFill="1" applyBorder="1" applyAlignment="1">
      <alignment horizontal="right"/>
    </xf>
    <xf numFmtId="178" fontId="75" fillId="34" borderId="33" xfId="0" applyNumberFormat="1" applyFont="1" applyFill="1" applyBorder="1" applyAlignment="1">
      <alignment horizontal="right" wrapText="1"/>
    </xf>
    <xf numFmtId="178" fontId="75" fillId="34" borderId="81" xfId="0" applyNumberFormat="1" applyFont="1" applyFill="1" applyBorder="1" applyAlignment="1">
      <alignment horizontal="right" wrapText="1"/>
    </xf>
    <xf numFmtId="178" fontId="75" fillId="0" borderId="13" xfId="0" applyNumberFormat="1" applyFont="1" applyFill="1" applyBorder="1" applyAlignment="1">
      <alignment horizontal="right" wrapText="1"/>
    </xf>
    <xf numFmtId="178" fontId="75" fillId="0" borderId="84" xfId="0" applyNumberFormat="1" applyFont="1" applyFill="1" applyBorder="1" applyAlignment="1">
      <alignment horizontal="right" wrapText="1"/>
    </xf>
    <xf numFmtId="178" fontId="75" fillId="37" borderId="51" xfId="0" applyNumberFormat="1" applyFont="1" applyFill="1" applyBorder="1" applyAlignment="1">
      <alignment horizontal="right"/>
    </xf>
    <xf numFmtId="178" fontId="75" fillId="37" borderId="99" xfId="0" applyNumberFormat="1" applyFont="1" applyFill="1" applyBorder="1" applyAlignment="1">
      <alignment horizontal="right"/>
    </xf>
    <xf numFmtId="178" fontId="73" fillId="0" borderId="29" xfId="0" applyNumberFormat="1" applyFont="1" applyFill="1" applyBorder="1" applyAlignment="1">
      <alignment horizontal="right" wrapText="1"/>
    </xf>
    <xf numFmtId="178" fontId="73" fillId="0" borderId="19" xfId="0" applyNumberFormat="1" applyFont="1" applyFill="1" applyBorder="1" applyAlignment="1">
      <alignment horizontal="right" wrapText="1"/>
    </xf>
    <xf numFmtId="178" fontId="73" fillId="0" borderId="86" xfId="0" applyNumberFormat="1" applyFont="1" applyFill="1" applyBorder="1" applyAlignment="1">
      <alignment horizontal="right" wrapText="1"/>
    </xf>
    <xf numFmtId="178" fontId="75" fillId="0" borderId="40" xfId="0" applyNumberFormat="1" applyFont="1" applyFill="1" applyBorder="1" applyAlignment="1">
      <alignment horizontal="right" wrapText="1"/>
    </xf>
    <xf numFmtId="178" fontId="75" fillId="0" borderId="105" xfId="0" applyNumberFormat="1" applyFont="1" applyFill="1" applyBorder="1" applyAlignment="1">
      <alignment horizontal="right" wrapText="1"/>
    </xf>
    <xf numFmtId="178" fontId="73" fillId="35" borderId="34" xfId="0" applyNumberFormat="1" applyFont="1" applyFill="1" applyBorder="1" applyAlignment="1">
      <alignment horizontal="right" wrapText="1"/>
    </xf>
    <xf numFmtId="178" fontId="75" fillId="0" borderId="14" xfId="0" applyNumberFormat="1" applyFont="1" applyFill="1" applyBorder="1" applyAlignment="1">
      <alignment horizontal="right" wrapText="1"/>
    </xf>
    <xf numFmtId="178" fontId="75" fillId="0" borderId="85" xfId="0" applyNumberFormat="1" applyFont="1" applyFill="1" applyBorder="1" applyAlignment="1">
      <alignment horizontal="right" wrapText="1"/>
    </xf>
    <xf numFmtId="178" fontId="73" fillId="0" borderId="34" xfId="0" applyNumberFormat="1" applyFont="1" applyFill="1" applyBorder="1" applyAlignment="1">
      <alignment horizontal="right" wrapText="1"/>
    </xf>
    <xf numFmtId="178" fontId="73" fillId="0" borderId="97" xfId="0" applyNumberFormat="1" applyFont="1" applyFill="1" applyBorder="1" applyAlignment="1">
      <alignment horizontal="right" wrapText="1"/>
    </xf>
    <xf numFmtId="178" fontId="75" fillId="35" borderId="13" xfId="0" applyNumberFormat="1" applyFont="1" applyFill="1" applyBorder="1" applyAlignment="1">
      <alignment horizontal="right" wrapText="1"/>
    </xf>
    <xf numFmtId="178" fontId="75" fillId="35" borderId="84" xfId="0" applyNumberFormat="1" applyFont="1" applyFill="1" applyBorder="1" applyAlignment="1">
      <alignment horizontal="right" wrapText="1"/>
    </xf>
    <xf numFmtId="178" fontId="75" fillId="35" borderId="23" xfId="0" applyNumberFormat="1" applyFont="1" applyFill="1" applyBorder="1" applyAlignment="1">
      <alignment horizontal="right" wrapText="1"/>
    </xf>
    <xf numFmtId="178" fontId="75" fillId="35" borderId="95" xfId="0" applyNumberFormat="1" applyFont="1" applyFill="1" applyBorder="1" applyAlignment="1">
      <alignment horizontal="right" wrapText="1"/>
    </xf>
    <xf numFmtId="178" fontId="75" fillId="35" borderId="29" xfId="0" applyNumberFormat="1" applyFont="1" applyFill="1" applyBorder="1" applyAlignment="1">
      <alignment horizontal="right" wrapText="1"/>
    </xf>
    <xf numFmtId="178" fontId="75" fillId="35" borderId="91" xfId="0" applyNumberFormat="1" applyFont="1" applyFill="1" applyBorder="1" applyAlignment="1">
      <alignment horizontal="right" wrapText="1"/>
    </xf>
    <xf numFmtId="178" fontId="75" fillId="36" borderId="84" xfId="0" applyNumberFormat="1" applyFont="1" applyFill="1" applyBorder="1" applyAlignment="1">
      <alignment horizontal="right"/>
    </xf>
    <xf numFmtId="178" fontId="73" fillId="35" borderId="29" xfId="0" applyNumberFormat="1" applyFont="1" applyFill="1" applyBorder="1" applyAlignment="1">
      <alignment horizontal="right"/>
    </xf>
    <xf numFmtId="178" fontId="73" fillId="35" borderId="91" xfId="0" applyNumberFormat="1" applyFont="1" applyFill="1" applyBorder="1" applyAlignment="1">
      <alignment horizontal="right"/>
    </xf>
    <xf numFmtId="178" fontId="75" fillId="35" borderId="45" xfId="0" applyNumberFormat="1" applyFont="1" applyFill="1" applyBorder="1" applyAlignment="1">
      <alignment horizontal="right"/>
    </xf>
    <xf numFmtId="178" fontId="75" fillId="35" borderId="106" xfId="0" applyNumberFormat="1" applyFont="1" applyFill="1" applyBorder="1" applyAlignment="1">
      <alignment horizontal="right"/>
    </xf>
    <xf numFmtId="178" fontId="75" fillId="34" borderId="85" xfId="0" applyNumberFormat="1" applyFont="1" applyFill="1" applyBorder="1" applyAlignment="1">
      <alignment horizontal="right"/>
    </xf>
    <xf numFmtId="178" fontId="73" fillId="35" borderId="36" xfId="0" applyNumberFormat="1" applyFont="1" applyFill="1" applyBorder="1" applyAlignment="1">
      <alignment horizontal="right"/>
    </xf>
    <xf numFmtId="178" fontId="73" fillId="35" borderId="98" xfId="0" applyNumberFormat="1" applyFont="1" applyFill="1" applyBorder="1" applyAlignment="1">
      <alignment horizontal="right"/>
    </xf>
    <xf numFmtId="178" fontId="75" fillId="0" borderId="14" xfId="0" applyNumberFormat="1" applyFont="1" applyFill="1" applyBorder="1" applyAlignment="1">
      <alignment horizontal="right"/>
    </xf>
    <xf numFmtId="178" fontId="73" fillId="35" borderId="13" xfId="0" applyNumberFormat="1" applyFont="1" applyFill="1" applyBorder="1" applyAlignment="1">
      <alignment horizontal="right"/>
    </xf>
    <xf numFmtId="178" fontId="73" fillId="35" borderId="84" xfId="0" applyNumberFormat="1" applyFont="1" applyFill="1" applyBorder="1" applyAlignment="1">
      <alignment horizontal="right"/>
    </xf>
    <xf numFmtId="178" fontId="73" fillId="0" borderId="23" xfId="0" applyNumberFormat="1" applyFont="1" applyFill="1" applyBorder="1" applyAlignment="1">
      <alignment horizontal="right"/>
    </xf>
    <xf numFmtId="178" fontId="73" fillId="0" borderId="95" xfId="0" applyNumberFormat="1" applyFont="1" applyFill="1" applyBorder="1" applyAlignment="1">
      <alignment horizontal="right"/>
    </xf>
    <xf numFmtId="178" fontId="73" fillId="0" borderId="54" xfId="0" applyNumberFormat="1" applyFont="1" applyFill="1" applyBorder="1" applyAlignment="1">
      <alignment horizontal="right"/>
    </xf>
    <xf numFmtId="178" fontId="73" fillId="0" borderId="92" xfId="0" applyNumberFormat="1" applyFont="1" applyFill="1" applyBorder="1" applyAlignment="1">
      <alignment horizontal="right"/>
    </xf>
    <xf numFmtId="178" fontId="75" fillId="0" borderId="51" xfId="0" applyNumberFormat="1" applyFont="1" applyFill="1" applyBorder="1" applyAlignment="1">
      <alignment horizontal="right"/>
    </xf>
    <xf numFmtId="178" fontId="75" fillId="0" borderId="99" xfId="0" applyNumberFormat="1" applyFont="1" applyFill="1" applyBorder="1" applyAlignment="1">
      <alignment horizontal="right"/>
    </xf>
    <xf numFmtId="178" fontId="75" fillId="0" borderId="13" xfId="0" applyNumberFormat="1" applyFont="1" applyBorder="1" applyAlignment="1">
      <alignment horizontal="right"/>
    </xf>
    <xf numFmtId="178" fontId="75" fillId="0" borderId="84" xfId="0" applyNumberFormat="1" applyFont="1" applyBorder="1" applyAlignment="1">
      <alignment horizontal="right"/>
    </xf>
    <xf numFmtId="178" fontId="73" fillId="0" borderId="21" xfId="0" applyNumberFormat="1" applyFont="1" applyBorder="1" applyAlignment="1">
      <alignment horizontal="right"/>
    </xf>
    <xf numFmtId="178" fontId="73" fillId="0" borderId="26" xfId="0" applyNumberFormat="1" applyFont="1" applyFill="1" applyBorder="1" applyAlignment="1">
      <alignment horizontal="right"/>
    </xf>
    <xf numFmtId="178" fontId="73" fillId="0" borderId="87" xfId="0" applyNumberFormat="1" applyFont="1" applyFill="1" applyBorder="1" applyAlignment="1">
      <alignment horizontal="right"/>
    </xf>
    <xf numFmtId="178" fontId="73" fillId="35" borderId="95" xfId="0" applyNumberFormat="1" applyFont="1" applyFill="1" applyBorder="1" applyAlignment="1">
      <alignment horizontal="right" wrapText="1"/>
    </xf>
    <xf numFmtId="178" fontId="75" fillId="0" borderId="85" xfId="0" applyNumberFormat="1" applyFont="1" applyFill="1" applyBorder="1" applyAlignment="1">
      <alignment horizontal="right"/>
    </xf>
    <xf numFmtId="178" fontId="75" fillId="35" borderId="33" xfId="0" applyNumberFormat="1" applyFont="1" applyFill="1" applyBorder="1" applyAlignment="1">
      <alignment horizontal="right"/>
    </xf>
    <xf numFmtId="178" fontId="73" fillId="35" borderId="26" xfId="0" applyNumberFormat="1" applyFont="1" applyFill="1" applyBorder="1" applyAlignment="1">
      <alignment horizontal="right" wrapText="1"/>
    </xf>
    <xf numFmtId="178" fontId="73" fillId="35" borderId="87" xfId="0" applyNumberFormat="1" applyFont="1" applyFill="1" applyBorder="1" applyAlignment="1">
      <alignment horizontal="right" wrapText="1"/>
    </xf>
    <xf numFmtId="178" fontId="73" fillId="35" borderId="21" xfId="0" applyNumberFormat="1" applyFont="1" applyFill="1" applyBorder="1" applyAlignment="1">
      <alignment horizontal="right" wrapText="1"/>
    </xf>
    <xf numFmtId="178" fontId="73" fillId="35" borderId="96" xfId="0" applyNumberFormat="1" applyFont="1" applyFill="1" applyBorder="1" applyAlignment="1">
      <alignment horizontal="right" wrapText="1"/>
    </xf>
    <xf numFmtId="178" fontId="73" fillId="35" borderId="107" xfId="0" applyNumberFormat="1" applyFont="1" applyFill="1" applyBorder="1" applyAlignment="1">
      <alignment horizontal="right"/>
    </xf>
    <xf numFmtId="0" fontId="74" fillId="38" borderId="0" xfId="0" applyFont="1" applyFill="1" applyAlignment="1">
      <alignment/>
    </xf>
    <xf numFmtId="178" fontId="70" fillId="38" borderId="0" xfId="0" applyNumberFormat="1" applyFont="1" applyFill="1" applyBorder="1" applyAlignment="1">
      <alignment horizontal="left"/>
    </xf>
    <xf numFmtId="49" fontId="2" fillId="41" borderId="74" xfId="0" applyNumberFormat="1" applyFont="1" applyFill="1" applyBorder="1" applyAlignment="1">
      <alignment horizontal="left" wrapText="1"/>
    </xf>
    <xf numFmtId="178" fontId="73" fillId="35" borderId="108" xfId="0" applyNumberFormat="1" applyFont="1" applyFill="1" applyBorder="1" applyAlignment="1">
      <alignment horizontal="right"/>
    </xf>
    <xf numFmtId="0" fontId="3" fillId="35" borderId="80" xfId="0" applyFont="1" applyFill="1" applyBorder="1" applyAlignment="1">
      <alignment horizontal="left" vertical="center" wrapText="1"/>
    </xf>
    <xf numFmtId="49" fontId="3" fillId="35" borderId="77" xfId="0" applyNumberFormat="1" applyFont="1" applyFill="1" applyBorder="1" applyAlignment="1">
      <alignment horizontal="left" vertical="center" wrapText="1"/>
    </xf>
    <xf numFmtId="49" fontId="2" fillId="35" borderId="80" xfId="0" applyNumberFormat="1" applyFont="1" applyFill="1" applyBorder="1" applyAlignment="1">
      <alignment horizontal="left" wrapText="1"/>
    </xf>
    <xf numFmtId="0" fontId="3" fillId="35" borderId="109" xfId="0" applyFont="1" applyFill="1" applyBorder="1" applyAlignment="1">
      <alignment horizontal="left" vertical="center" wrapText="1"/>
    </xf>
    <xf numFmtId="49" fontId="2" fillId="42" borderId="110" xfId="0" applyNumberFormat="1" applyFont="1" applyFill="1" applyBorder="1" applyAlignment="1">
      <alignment horizontal="left" wrapText="1"/>
    </xf>
    <xf numFmtId="49" fontId="1" fillId="42" borderId="111" xfId="0" applyNumberFormat="1" applyFont="1" applyFill="1" applyBorder="1" applyAlignment="1">
      <alignment horizontal="center" wrapText="1"/>
    </xf>
    <xf numFmtId="49" fontId="3" fillId="42" borderId="41" xfId="0" applyNumberFormat="1" applyFont="1" applyFill="1" applyBorder="1" applyAlignment="1">
      <alignment horizontal="center" wrapText="1"/>
    </xf>
    <xf numFmtId="49" fontId="67" fillId="35" borderId="112" xfId="0" applyNumberFormat="1" applyFont="1" applyFill="1" applyBorder="1" applyAlignment="1">
      <alignment horizontal="left" wrapText="1"/>
    </xf>
    <xf numFmtId="49" fontId="69" fillId="35" borderId="48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35" borderId="112" xfId="0" applyNumberFormat="1" applyFont="1" applyFill="1" applyBorder="1" applyAlignment="1">
      <alignment horizontal="left" wrapText="1"/>
    </xf>
    <xf numFmtId="49" fontId="1" fillId="35" borderId="48" xfId="0" applyNumberFormat="1" applyFont="1" applyFill="1" applyBorder="1" applyAlignment="1">
      <alignment horizontal="center" wrapText="1"/>
    </xf>
    <xf numFmtId="49" fontId="3" fillId="35" borderId="109" xfId="0" applyNumberFormat="1" applyFont="1" applyFill="1" applyBorder="1" applyAlignment="1">
      <alignment horizontal="left" vertical="center" wrapText="1"/>
    </xf>
    <xf numFmtId="178" fontId="73" fillId="35" borderId="113" xfId="0" applyNumberFormat="1" applyFont="1" applyFill="1" applyBorder="1" applyAlignment="1">
      <alignment horizontal="right"/>
    </xf>
    <xf numFmtId="178" fontId="73" fillId="35" borderId="114" xfId="0" applyNumberFormat="1" applyFont="1" applyFill="1" applyBorder="1" applyAlignment="1">
      <alignment horizontal="right"/>
    </xf>
    <xf numFmtId="0" fontId="3" fillId="35" borderId="77" xfId="0" applyFont="1" applyFill="1" applyBorder="1" applyAlignment="1">
      <alignment horizontal="left" vertical="center" wrapText="1"/>
    </xf>
    <xf numFmtId="178" fontId="75" fillId="42" borderId="41" xfId="0" applyNumberFormat="1" applyFont="1" applyFill="1" applyBorder="1" applyAlignment="1">
      <alignment horizontal="right"/>
    </xf>
    <xf numFmtId="49" fontId="2" fillId="35" borderId="38" xfId="0" applyNumberFormat="1" applyFont="1" applyFill="1" applyBorder="1" applyAlignment="1">
      <alignment horizontal="center"/>
    </xf>
    <xf numFmtId="49" fontId="3" fillId="35" borderId="109" xfId="0" applyNumberFormat="1" applyFont="1" applyFill="1" applyBorder="1" applyAlignment="1">
      <alignment horizontal="left" wrapText="1"/>
    </xf>
    <xf numFmtId="49" fontId="3" fillId="35" borderId="43" xfId="0" applyNumberFormat="1" applyFont="1" applyFill="1" applyBorder="1" applyAlignment="1">
      <alignment horizontal="center"/>
    </xf>
    <xf numFmtId="49" fontId="2" fillId="35" borderId="80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wrapText="1"/>
    </xf>
    <xf numFmtId="178" fontId="73" fillId="0" borderId="37" xfId="0" applyNumberFormat="1" applyFont="1" applyBorder="1" applyAlignment="1">
      <alignment horizontal="right"/>
    </xf>
    <xf numFmtId="178" fontId="75" fillId="0" borderId="38" xfId="0" applyNumberFormat="1" applyFont="1" applyBorder="1" applyAlignment="1">
      <alignment horizontal="right"/>
    </xf>
    <xf numFmtId="178" fontId="75" fillId="35" borderId="59" xfId="0" applyNumberFormat="1" applyFont="1" applyFill="1" applyBorder="1" applyAlignment="1">
      <alignment horizontal="right"/>
    </xf>
    <xf numFmtId="49" fontId="3" fillId="35" borderId="0" xfId="0" applyNumberFormat="1" applyFont="1" applyFill="1" applyBorder="1" applyAlignment="1">
      <alignment horizontal="left" wrapText="1"/>
    </xf>
    <xf numFmtId="178" fontId="75" fillId="35" borderId="113" xfId="0" applyNumberFormat="1" applyFont="1" applyFill="1" applyBorder="1" applyAlignment="1">
      <alignment horizontal="right"/>
    </xf>
    <xf numFmtId="178" fontId="73" fillId="0" borderId="91" xfId="0" applyNumberFormat="1" applyFont="1" applyFill="1" applyBorder="1" applyAlignment="1">
      <alignment horizontal="right" wrapText="1"/>
    </xf>
    <xf numFmtId="49" fontId="3" fillId="35" borderId="55" xfId="0" applyNumberFormat="1" applyFont="1" applyFill="1" applyBorder="1" applyAlignment="1">
      <alignment horizontal="left" wrapText="1"/>
    </xf>
    <xf numFmtId="49" fontId="3" fillId="35" borderId="62" xfId="0" applyNumberFormat="1" applyFont="1" applyFill="1" applyBorder="1" applyAlignment="1">
      <alignment horizontal="center" wrapText="1"/>
    </xf>
    <xf numFmtId="49" fontId="3" fillId="35" borderId="77" xfId="0" applyNumberFormat="1" applyFont="1" applyFill="1" applyBorder="1" applyAlignment="1">
      <alignment horizontal="left" vertical="justify" wrapText="1"/>
    </xf>
    <xf numFmtId="49" fontId="2" fillId="34" borderId="63" xfId="0" applyNumberFormat="1" applyFont="1" applyFill="1" applyBorder="1" applyAlignment="1">
      <alignment horizontal="left" wrapText="1"/>
    </xf>
    <xf numFmtId="49" fontId="1" fillId="42" borderId="64" xfId="0" applyNumberFormat="1" applyFont="1" applyFill="1" applyBorder="1" applyAlignment="1">
      <alignment horizontal="center" wrapText="1"/>
    </xf>
    <xf numFmtId="49" fontId="3" fillId="42" borderId="64" xfId="0" applyNumberFormat="1" applyFont="1" applyFill="1" applyBorder="1" applyAlignment="1">
      <alignment horizontal="center" wrapText="1"/>
    </xf>
    <xf numFmtId="49" fontId="2" fillId="35" borderId="80" xfId="0" applyNumberFormat="1" applyFont="1" applyFill="1" applyBorder="1" applyAlignment="1">
      <alignment horizontal="left" vertical="justify" wrapText="1"/>
    </xf>
    <xf numFmtId="178" fontId="73" fillId="0" borderId="37" xfId="0" applyNumberFormat="1" applyFont="1" applyFill="1" applyBorder="1" applyAlignment="1">
      <alignment horizontal="right" wrapText="1"/>
    </xf>
    <xf numFmtId="178" fontId="73" fillId="0" borderId="83" xfId="0" applyNumberFormat="1" applyFont="1" applyFill="1" applyBorder="1" applyAlignment="1">
      <alignment horizontal="right" wrapText="1"/>
    </xf>
    <xf numFmtId="178" fontId="75" fillId="0" borderId="38" xfId="0" applyNumberFormat="1" applyFont="1" applyFill="1" applyBorder="1" applyAlignment="1">
      <alignment horizontal="right" wrapText="1"/>
    </xf>
    <xf numFmtId="178" fontId="75" fillId="42" borderId="64" xfId="0" applyNumberFormat="1" applyFont="1" applyFill="1" applyBorder="1" applyAlignment="1">
      <alignment horizontal="right" wrapText="1"/>
    </xf>
    <xf numFmtId="49" fontId="2" fillId="35" borderId="80" xfId="0" applyNumberFormat="1" applyFont="1" applyFill="1" applyBorder="1" applyAlignment="1">
      <alignment horizontal="left" vertic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2" fillId="35" borderId="38" xfId="0" applyNumberFormat="1" applyFont="1" applyFill="1" applyBorder="1" applyAlignment="1">
      <alignment horizontal="left" vertical="center" wrapText="1"/>
    </xf>
    <xf numFmtId="178" fontId="73" fillId="35" borderId="43" xfId="0" applyNumberFormat="1" applyFont="1" applyFill="1" applyBorder="1" applyAlignment="1">
      <alignment horizontal="right"/>
    </xf>
    <xf numFmtId="49" fontId="3" fillId="35" borderId="115" xfId="0" applyNumberFormat="1" applyFont="1" applyFill="1" applyBorder="1" applyAlignment="1">
      <alignment horizontal="left" wrapText="1"/>
    </xf>
    <xf numFmtId="49" fontId="3" fillId="35" borderId="47" xfId="0" applyNumberFormat="1" applyFont="1" applyFill="1" applyBorder="1" applyAlignment="1">
      <alignment horizontal="center"/>
    </xf>
    <xf numFmtId="178" fontId="73" fillId="35" borderId="47" xfId="0" applyNumberFormat="1" applyFont="1" applyFill="1" applyBorder="1" applyAlignment="1">
      <alignment horizontal="right"/>
    </xf>
    <xf numFmtId="49" fontId="3" fillId="35" borderId="43" xfId="0" applyNumberFormat="1" applyFont="1" applyFill="1" applyBorder="1" applyAlignment="1">
      <alignment horizontal="left" vertical="center" wrapText="1"/>
    </xf>
    <xf numFmtId="49" fontId="3" fillId="35" borderId="43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0" fontId="3" fillId="35" borderId="109" xfId="0" applyFont="1" applyFill="1" applyBorder="1" applyAlignment="1">
      <alignment horizontal="left" vertical="center" wrapText="1"/>
    </xf>
    <xf numFmtId="0" fontId="3" fillId="35" borderId="115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wrapText="1"/>
    </xf>
    <xf numFmtId="178" fontId="73" fillId="35" borderId="116" xfId="0" applyNumberFormat="1" applyFont="1" applyFill="1" applyBorder="1" applyAlignment="1">
      <alignment horizontal="right"/>
    </xf>
    <xf numFmtId="49" fontId="3" fillId="35" borderId="80" xfId="0" applyNumberFormat="1" applyFont="1" applyFill="1" applyBorder="1" applyAlignment="1">
      <alignment horizontal="left" wrapText="1"/>
    </xf>
    <xf numFmtId="178" fontId="73" fillId="0" borderId="29" xfId="0" applyNumberFormat="1" applyFont="1" applyFill="1" applyBorder="1" applyAlignment="1">
      <alignment horizontal="right"/>
    </xf>
    <xf numFmtId="178" fontId="73" fillId="0" borderId="91" xfId="0" applyNumberFormat="1" applyFont="1" applyFill="1" applyBorder="1" applyAlignment="1">
      <alignment horizontal="right"/>
    </xf>
    <xf numFmtId="0" fontId="2" fillId="0" borderId="112" xfId="0" applyNumberFormat="1" applyFont="1" applyFill="1" applyBorder="1" applyAlignment="1">
      <alignment horizontal="left" wrapText="1"/>
    </xf>
    <xf numFmtId="49" fontId="1" fillId="0" borderId="48" xfId="0" applyNumberFormat="1" applyFont="1" applyFill="1" applyBorder="1" applyAlignment="1">
      <alignment horizontal="center" wrapText="1"/>
    </xf>
    <xf numFmtId="49" fontId="2" fillId="35" borderId="48" xfId="0" applyNumberFormat="1" applyFont="1" applyFill="1" applyBorder="1" applyAlignment="1">
      <alignment horizontal="center" wrapText="1"/>
    </xf>
    <xf numFmtId="178" fontId="75" fillId="0" borderId="48" xfId="0" applyNumberFormat="1" applyFont="1" applyFill="1" applyBorder="1" applyAlignment="1">
      <alignment horizontal="right"/>
    </xf>
    <xf numFmtId="178" fontId="73" fillId="0" borderId="38" xfId="0" applyNumberFormat="1" applyFont="1" applyFill="1" applyBorder="1" applyAlignment="1">
      <alignment horizontal="right"/>
    </xf>
    <xf numFmtId="178" fontId="73" fillId="0" borderId="82" xfId="0" applyNumberFormat="1" applyFont="1" applyFill="1" applyBorder="1" applyAlignment="1">
      <alignment horizontal="right"/>
    </xf>
    <xf numFmtId="178" fontId="73" fillId="0" borderId="47" xfId="0" applyNumberFormat="1" applyFont="1" applyFill="1" applyBorder="1" applyAlignment="1">
      <alignment horizontal="right"/>
    </xf>
    <xf numFmtId="178" fontId="73" fillId="0" borderId="117" xfId="0" applyNumberFormat="1" applyFont="1" applyFill="1" applyBorder="1" applyAlignment="1">
      <alignment horizontal="right"/>
    </xf>
    <xf numFmtId="49" fontId="3" fillId="35" borderId="118" xfId="0" applyNumberFormat="1" applyFont="1" applyFill="1" applyBorder="1" applyAlignment="1">
      <alignment horizontal="left" wrapText="1"/>
    </xf>
    <xf numFmtId="49" fontId="3" fillId="35" borderId="119" xfId="0" applyNumberFormat="1" applyFont="1" applyFill="1" applyBorder="1" applyAlignment="1">
      <alignment horizontal="center" wrapText="1"/>
    </xf>
    <xf numFmtId="178" fontId="73" fillId="35" borderId="119" xfId="0" applyNumberFormat="1" applyFont="1" applyFill="1" applyBorder="1" applyAlignment="1">
      <alignment horizontal="right"/>
    </xf>
    <xf numFmtId="178" fontId="73" fillId="35" borderId="120" xfId="0" applyNumberFormat="1" applyFont="1" applyFill="1" applyBorder="1" applyAlignment="1">
      <alignment horizontal="right"/>
    </xf>
    <xf numFmtId="49" fontId="3" fillId="0" borderId="44" xfId="0" applyNumberFormat="1" applyFont="1" applyFill="1" applyBorder="1" applyAlignment="1">
      <alignment horizontal="center" wrapText="1"/>
    </xf>
    <xf numFmtId="178" fontId="73" fillId="35" borderId="121" xfId="0" applyNumberFormat="1" applyFont="1" applyFill="1" applyBorder="1" applyAlignment="1">
      <alignment horizontal="right"/>
    </xf>
    <xf numFmtId="178" fontId="77" fillId="35" borderId="23" xfId="0" applyNumberFormat="1" applyFont="1" applyFill="1" applyBorder="1" applyAlignment="1">
      <alignment horizontal="right"/>
    </xf>
    <xf numFmtId="178" fontId="77" fillId="35" borderId="95" xfId="0" applyNumberFormat="1" applyFont="1" applyFill="1" applyBorder="1" applyAlignment="1">
      <alignment horizontal="right"/>
    </xf>
    <xf numFmtId="178" fontId="64" fillId="35" borderId="34" xfId="0" applyNumberFormat="1" applyFont="1" applyFill="1" applyBorder="1" applyAlignment="1">
      <alignment horizontal="right" wrapText="1"/>
    </xf>
    <xf numFmtId="178" fontId="64" fillId="35" borderId="97" xfId="0" applyNumberFormat="1" applyFont="1" applyFill="1" applyBorder="1" applyAlignment="1">
      <alignment horizontal="right" wrapText="1"/>
    </xf>
    <xf numFmtId="178" fontId="78" fillId="0" borderId="0" xfId="0" applyNumberFormat="1" applyFont="1" applyAlignment="1">
      <alignment/>
    </xf>
    <xf numFmtId="49" fontId="3" fillId="0" borderId="122" xfId="0" applyNumberFormat="1" applyFont="1" applyFill="1" applyBorder="1" applyAlignment="1">
      <alignment horizontal="left" wrapText="1"/>
    </xf>
    <xf numFmtId="49" fontId="3" fillId="0" borderId="123" xfId="0" applyNumberFormat="1" applyFont="1" applyFill="1" applyBorder="1" applyAlignment="1">
      <alignment horizontal="center" wrapText="1"/>
    </xf>
    <xf numFmtId="178" fontId="73" fillId="35" borderId="123" xfId="0" applyNumberFormat="1" applyFont="1" applyFill="1" applyBorder="1" applyAlignment="1">
      <alignment horizontal="right"/>
    </xf>
    <xf numFmtId="178" fontId="73" fillId="35" borderId="124" xfId="0" applyNumberFormat="1" applyFont="1" applyFill="1" applyBorder="1" applyAlignment="1">
      <alignment horizontal="right"/>
    </xf>
    <xf numFmtId="178" fontId="73" fillId="35" borderId="125" xfId="0" applyNumberFormat="1" applyFont="1" applyFill="1" applyBorder="1" applyAlignment="1">
      <alignment horizontal="right"/>
    </xf>
    <xf numFmtId="49" fontId="68" fillId="37" borderId="13" xfId="0" applyNumberFormat="1" applyFont="1" applyFill="1" applyBorder="1" applyAlignment="1">
      <alignment horizontal="center" wrapText="1"/>
    </xf>
    <xf numFmtId="178" fontId="73" fillId="37" borderId="13" xfId="0" applyNumberFormat="1" applyFont="1" applyFill="1" applyBorder="1" applyAlignment="1">
      <alignment horizontal="right"/>
    </xf>
    <xf numFmtId="178" fontId="73" fillId="37" borderId="84" xfId="0" applyNumberFormat="1" applyFont="1" applyFill="1" applyBorder="1" applyAlignment="1">
      <alignment horizontal="right"/>
    </xf>
    <xf numFmtId="49" fontId="3" fillId="0" borderId="126" xfId="0" applyNumberFormat="1" applyFont="1" applyFill="1" applyBorder="1" applyAlignment="1">
      <alignment horizontal="left" wrapText="1"/>
    </xf>
    <xf numFmtId="178" fontId="73" fillId="35" borderId="127" xfId="0" applyNumberFormat="1" applyFont="1" applyFill="1" applyBorder="1" applyAlignment="1">
      <alignment horizontal="right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35" borderId="0" xfId="0" applyFont="1" applyFill="1" applyAlignment="1">
      <alignment horizontal="right"/>
    </xf>
    <xf numFmtId="49" fontId="3" fillId="35" borderId="128" xfId="0" applyNumberFormat="1" applyFont="1" applyFill="1" applyBorder="1" applyAlignment="1">
      <alignment horizontal="left" wrapText="1"/>
    </xf>
    <xf numFmtId="49" fontId="3" fillId="35" borderId="44" xfId="0" applyNumberFormat="1" applyFont="1" applyFill="1" applyBorder="1" applyAlignment="1">
      <alignment horizontal="center"/>
    </xf>
    <xf numFmtId="178" fontId="73" fillId="35" borderId="44" xfId="0" applyNumberFormat="1" applyFont="1" applyFill="1" applyBorder="1" applyAlignment="1">
      <alignment horizontal="right"/>
    </xf>
    <xf numFmtId="178" fontId="73" fillId="35" borderId="129" xfId="0" applyNumberFormat="1" applyFont="1" applyFill="1" applyBorder="1" applyAlignment="1">
      <alignment horizontal="right"/>
    </xf>
    <xf numFmtId="49" fontId="2" fillId="35" borderId="48" xfId="0" applyNumberFormat="1" applyFont="1" applyFill="1" applyBorder="1" applyAlignment="1">
      <alignment horizontal="center"/>
    </xf>
    <xf numFmtId="49" fontId="3" fillId="35" borderId="48" xfId="0" applyNumberFormat="1" applyFont="1" applyFill="1" applyBorder="1" applyAlignment="1">
      <alignment horizontal="center" wrapText="1"/>
    </xf>
    <xf numFmtId="178" fontId="75" fillId="35" borderId="48" xfId="0" applyNumberFormat="1" applyFont="1" applyFill="1" applyBorder="1" applyAlignment="1">
      <alignment horizontal="right"/>
    </xf>
    <xf numFmtId="178" fontId="75" fillId="35" borderId="130" xfId="0" applyNumberFormat="1" applyFont="1" applyFill="1" applyBorder="1" applyAlignment="1">
      <alignment horizontal="right"/>
    </xf>
    <xf numFmtId="49" fontId="2" fillId="35" borderId="131" xfId="0" applyNumberFormat="1" applyFont="1" applyFill="1" applyBorder="1" applyAlignment="1">
      <alignment horizontal="left" wrapText="1"/>
    </xf>
    <xf numFmtId="49" fontId="1" fillId="35" borderId="132" xfId="0" applyNumberFormat="1" applyFont="1" applyFill="1" applyBorder="1" applyAlignment="1">
      <alignment horizontal="center" wrapText="1"/>
    </xf>
    <xf numFmtId="49" fontId="3" fillId="35" borderId="132" xfId="0" applyNumberFormat="1" applyFont="1" applyFill="1" applyBorder="1" applyAlignment="1">
      <alignment horizontal="center" wrapText="1"/>
    </xf>
    <xf numFmtId="178" fontId="75" fillId="35" borderId="132" xfId="0" applyNumberFormat="1" applyFont="1" applyFill="1" applyBorder="1" applyAlignment="1">
      <alignment horizontal="right"/>
    </xf>
    <xf numFmtId="49" fontId="3" fillId="35" borderId="131" xfId="0" applyNumberFormat="1" applyFont="1" applyFill="1" applyBorder="1" applyAlignment="1">
      <alignment horizontal="left" wrapText="1"/>
    </xf>
    <xf numFmtId="178" fontId="73" fillId="35" borderId="132" xfId="0" applyNumberFormat="1" applyFont="1" applyFill="1" applyBorder="1" applyAlignment="1">
      <alignment horizontal="right"/>
    </xf>
    <xf numFmtId="178" fontId="73" fillId="35" borderId="133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707"/>
  <sheetViews>
    <sheetView showGridLines="0" tabSelected="1" view="pageBreakPreview" zoomScale="75" zoomScaleSheetLayoutView="75" zoomScalePageLayoutView="0" workbookViewId="0" topLeftCell="A1">
      <selection activeCell="F450" sqref="F450"/>
    </sheetView>
  </sheetViews>
  <sheetFormatPr defaultColWidth="8.875" defaultRowHeight="12.75"/>
  <cols>
    <col min="1" max="1" width="118.625" style="37" customWidth="1"/>
    <col min="2" max="2" width="19.375" style="37" customWidth="1"/>
    <col min="3" max="3" width="10.125" style="37" customWidth="1"/>
    <col min="4" max="4" width="18.25390625" style="37" customWidth="1"/>
    <col min="5" max="5" width="24.375" style="37" customWidth="1"/>
    <col min="6" max="6" width="21.375" style="37" customWidth="1"/>
    <col min="7" max="7" width="21.375" style="37" bestFit="1" customWidth="1"/>
    <col min="8" max="8" width="20.875" style="37" customWidth="1"/>
    <col min="9" max="9" width="10.125" style="37" bestFit="1" customWidth="1"/>
    <col min="10" max="11" width="12.375" style="37" customWidth="1"/>
    <col min="12" max="16384" width="8.875" style="37" customWidth="1"/>
  </cols>
  <sheetData>
    <row r="1" spans="1:7" ht="20.25">
      <c r="A1" s="489" t="s">
        <v>5</v>
      </c>
      <c r="B1" s="489"/>
      <c r="C1" s="489"/>
      <c r="D1" s="489"/>
      <c r="E1" s="489"/>
      <c r="F1" s="489"/>
      <c r="G1" s="489"/>
    </row>
    <row r="2" spans="1:7" ht="20.25">
      <c r="A2" s="489" t="s">
        <v>18</v>
      </c>
      <c r="B2" s="489"/>
      <c r="C2" s="489"/>
      <c r="D2" s="489"/>
      <c r="E2" s="489"/>
      <c r="F2" s="489"/>
      <c r="G2" s="489"/>
    </row>
    <row r="3" spans="1:7" ht="20.25">
      <c r="A3" s="489" t="s">
        <v>7</v>
      </c>
      <c r="B3" s="489"/>
      <c r="C3" s="489"/>
      <c r="D3" s="489"/>
      <c r="E3" s="489"/>
      <c r="F3" s="489"/>
      <c r="G3" s="489"/>
    </row>
    <row r="4" spans="1:7" ht="20.25">
      <c r="A4" s="489" t="s">
        <v>6</v>
      </c>
      <c r="B4" s="489"/>
      <c r="C4" s="489"/>
      <c r="D4" s="489"/>
      <c r="E4" s="489"/>
      <c r="F4" s="489"/>
      <c r="G4" s="489"/>
    </row>
    <row r="5" spans="1:7" ht="20.25">
      <c r="A5" s="490" t="s">
        <v>685</v>
      </c>
      <c r="B5" s="490"/>
      <c r="C5" s="490"/>
      <c r="D5" s="490"/>
      <c r="E5" s="490"/>
      <c r="F5" s="490"/>
      <c r="G5" s="490"/>
    </row>
    <row r="6" spans="1:7" ht="20.25">
      <c r="A6" s="489" t="s">
        <v>518</v>
      </c>
      <c r="B6" s="489"/>
      <c r="C6" s="489"/>
      <c r="D6" s="489"/>
      <c r="E6" s="489"/>
      <c r="F6" s="489"/>
      <c r="G6" s="489"/>
    </row>
    <row r="7" spans="1:7" ht="20.25">
      <c r="A7" s="489" t="s">
        <v>687</v>
      </c>
      <c r="B7" s="489"/>
      <c r="C7" s="489"/>
      <c r="D7" s="489"/>
      <c r="E7" s="489"/>
      <c r="F7" s="489"/>
      <c r="G7" s="489"/>
    </row>
    <row r="8" spans="1:7" ht="20.25">
      <c r="A8" s="489" t="s">
        <v>686</v>
      </c>
      <c r="B8" s="489"/>
      <c r="C8" s="489"/>
      <c r="D8" s="489"/>
      <c r="E8" s="489"/>
      <c r="F8" s="489"/>
      <c r="G8" s="489"/>
    </row>
    <row r="9" spans="1:7" ht="76.5" customHeight="1">
      <c r="A9" s="487" t="s">
        <v>165</v>
      </c>
      <c r="B9" s="487"/>
      <c r="C9" s="487"/>
      <c r="D9" s="488"/>
      <c r="E9" s="488"/>
      <c r="F9" s="488"/>
      <c r="G9" s="488"/>
    </row>
    <row r="10" spans="1:7" ht="21" customHeight="1">
      <c r="A10" s="488" t="s">
        <v>541</v>
      </c>
      <c r="B10" s="488"/>
      <c r="C10" s="488"/>
      <c r="D10" s="488"/>
      <c r="E10" s="488"/>
      <c r="F10" s="488"/>
      <c r="G10" s="488"/>
    </row>
    <row r="11" spans="1:7" ht="13.5" customHeight="1" thickBot="1">
      <c r="A11" s="38"/>
      <c r="B11" s="38"/>
      <c r="C11" s="38"/>
      <c r="D11" s="38"/>
      <c r="E11" s="38"/>
      <c r="F11" s="38"/>
      <c r="G11" s="38"/>
    </row>
    <row r="12" spans="1:7" ht="72" customHeight="1" thickTop="1">
      <c r="A12" s="39" t="s">
        <v>19</v>
      </c>
      <c r="B12" s="39" t="s">
        <v>3</v>
      </c>
      <c r="C12" s="39" t="s">
        <v>4</v>
      </c>
      <c r="D12" s="39" t="s">
        <v>8</v>
      </c>
      <c r="E12" s="1" t="s">
        <v>210</v>
      </c>
      <c r="F12" s="1" t="s">
        <v>521</v>
      </c>
      <c r="G12" s="1" t="s">
        <v>542</v>
      </c>
    </row>
    <row r="13" spans="1:7" ht="13.5" thickBo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</row>
    <row r="14" spans="1:11" ht="20.25" thickBot="1" thickTop="1">
      <c r="A14" s="221" t="s">
        <v>34</v>
      </c>
      <c r="B14" s="222"/>
      <c r="C14" s="222"/>
      <c r="D14" s="222"/>
      <c r="E14" s="279">
        <f>E15+E20+E266+E292+E350+E417+E442+E464+E477+E489+E530+E547+E630</f>
        <v>4790637.4</v>
      </c>
      <c r="F14" s="279">
        <f>F15+F20+F266+F292+F350+F417+F442+F464+F477+F489+F530+F547+F630</f>
        <v>4535964.000000001</v>
      </c>
      <c r="G14" s="280">
        <f>G15+G20+G266+G292+G350+G417+G442+G464+G477+G489+G530+G547+G630</f>
        <v>4337397.8</v>
      </c>
      <c r="H14" s="476"/>
      <c r="I14" s="40"/>
      <c r="J14" s="40"/>
      <c r="K14" s="40"/>
    </row>
    <row r="15" spans="1:8" ht="30.75">
      <c r="A15" s="66" t="s">
        <v>153</v>
      </c>
      <c r="B15" s="67" t="s">
        <v>313</v>
      </c>
      <c r="C15" s="67"/>
      <c r="D15" s="68"/>
      <c r="E15" s="281">
        <f aca="true" t="shared" si="0" ref="E15:G16">E16</f>
        <v>2633.2</v>
      </c>
      <c r="F15" s="281">
        <f t="shared" si="0"/>
        <v>2636.7</v>
      </c>
      <c r="G15" s="282">
        <f t="shared" si="0"/>
        <v>2640.6</v>
      </c>
      <c r="H15" s="202"/>
    </row>
    <row r="16" spans="1:8" ht="15.75">
      <c r="A16" s="3" t="s">
        <v>222</v>
      </c>
      <c r="B16" s="4" t="s">
        <v>315</v>
      </c>
      <c r="C16" s="4"/>
      <c r="D16" s="5"/>
      <c r="E16" s="283">
        <f t="shared" si="0"/>
        <v>2633.2</v>
      </c>
      <c r="F16" s="283">
        <f t="shared" si="0"/>
        <v>2636.7</v>
      </c>
      <c r="G16" s="284">
        <f t="shared" si="0"/>
        <v>2640.6</v>
      </c>
      <c r="H16" s="202"/>
    </row>
    <row r="17" spans="1:8" ht="30.75">
      <c r="A17" s="130" t="s">
        <v>311</v>
      </c>
      <c r="B17" s="135" t="s">
        <v>312</v>
      </c>
      <c r="C17" s="135"/>
      <c r="D17" s="136"/>
      <c r="E17" s="278">
        <f aca="true" t="shared" si="1" ref="E17:G18">E18</f>
        <v>2633.2</v>
      </c>
      <c r="F17" s="278">
        <f t="shared" si="1"/>
        <v>2636.7</v>
      </c>
      <c r="G17" s="285">
        <f t="shared" si="1"/>
        <v>2640.6</v>
      </c>
      <c r="H17" s="202"/>
    </row>
    <row r="18" spans="1:8" ht="15.75">
      <c r="A18" s="152" t="s">
        <v>252</v>
      </c>
      <c r="B18" s="153" t="s">
        <v>314</v>
      </c>
      <c r="C18" s="69"/>
      <c r="D18" s="69"/>
      <c r="E18" s="286">
        <f t="shared" si="1"/>
        <v>2633.2</v>
      </c>
      <c r="F18" s="286">
        <f t="shared" si="1"/>
        <v>2636.7</v>
      </c>
      <c r="G18" s="287">
        <f t="shared" si="1"/>
        <v>2640.6</v>
      </c>
      <c r="H18" s="202"/>
    </row>
    <row r="19" spans="1:8" ht="15">
      <c r="A19" s="201" t="s">
        <v>155</v>
      </c>
      <c r="B19" s="43" t="s">
        <v>314</v>
      </c>
      <c r="C19" s="43" t="s">
        <v>154</v>
      </c>
      <c r="D19" s="43" t="s">
        <v>13</v>
      </c>
      <c r="E19" s="288">
        <v>2633.2</v>
      </c>
      <c r="F19" s="273">
        <v>2636.7</v>
      </c>
      <c r="G19" s="289">
        <v>2640.6</v>
      </c>
      <c r="H19" s="202"/>
    </row>
    <row r="20" spans="1:8" ht="30.75">
      <c r="A20" s="110" t="s">
        <v>117</v>
      </c>
      <c r="B20" s="132" t="s">
        <v>374</v>
      </c>
      <c r="C20" s="132"/>
      <c r="D20" s="133"/>
      <c r="E20" s="290">
        <f>E36+E21+E239</f>
        <v>3012859.3</v>
      </c>
      <c r="F20" s="290">
        <f>F36+F21+F239</f>
        <v>3053492</v>
      </c>
      <c r="G20" s="290">
        <f>G36+G21+G239</f>
        <v>3109270.6999999997</v>
      </c>
      <c r="H20" s="48"/>
    </row>
    <row r="21" spans="1:8" ht="15.75">
      <c r="A21" s="3" t="s">
        <v>584</v>
      </c>
      <c r="B21" s="4" t="s">
        <v>512</v>
      </c>
      <c r="C21" s="4"/>
      <c r="D21" s="5"/>
      <c r="E21" s="283">
        <f>E22+E29+E32+E25</f>
        <v>26611.2</v>
      </c>
      <c r="F21" s="283">
        <f>F22+F29+F32+F25</f>
        <v>4428.200000000001</v>
      </c>
      <c r="G21" s="283">
        <f>G22+G29+G32+G25</f>
        <v>3435.3999999999996</v>
      </c>
      <c r="H21" s="399"/>
    </row>
    <row r="22" spans="1:8" ht="15.75">
      <c r="A22" s="223" t="s">
        <v>587</v>
      </c>
      <c r="B22" s="137" t="s">
        <v>585</v>
      </c>
      <c r="C22" s="138"/>
      <c r="D22" s="139"/>
      <c r="E22" s="291">
        <f aca="true" t="shared" si="2" ref="E22:G23">E23</f>
        <v>17324.5</v>
      </c>
      <c r="F22" s="291">
        <f t="shared" si="2"/>
        <v>0</v>
      </c>
      <c r="G22" s="292">
        <f t="shared" si="2"/>
        <v>0</v>
      </c>
      <c r="H22" s="210"/>
    </row>
    <row r="23" spans="1:8" ht="60.75">
      <c r="A23" s="224" t="s">
        <v>529</v>
      </c>
      <c r="B23" s="102" t="s">
        <v>586</v>
      </c>
      <c r="C23" s="43"/>
      <c r="D23" s="43"/>
      <c r="E23" s="293">
        <f t="shared" si="2"/>
        <v>17324.5</v>
      </c>
      <c r="F23" s="293">
        <f t="shared" si="2"/>
        <v>0</v>
      </c>
      <c r="G23" s="294">
        <f t="shared" si="2"/>
        <v>0</v>
      </c>
      <c r="H23" s="210"/>
    </row>
    <row r="24" spans="1:8" ht="15.75">
      <c r="A24" s="226" t="s">
        <v>146</v>
      </c>
      <c r="B24" s="209" t="s">
        <v>586</v>
      </c>
      <c r="C24" s="191" t="s">
        <v>143</v>
      </c>
      <c r="D24" s="191" t="s">
        <v>27</v>
      </c>
      <c r="E24" s="295">
        <f>1731.4+1.1+15592</f>
        <v>17324.5</v>
      </c>
      <c r="F24" s="295">
        <v>0</v>
      </c>
      <c r="G24" s="296">
        <v>0</v>
      </c>
      <c r="H24" s="210"/>
    </row>
    <row r="25" spans="1:8" ht="15.75">
      <c r="A25" s="223" t="s">
        <v>627</v>
      </c>
      <c r="B25" s="137" t="s">
        <v>625</v>
      </c>
      <c r="C25" s="139"/>
      <c r="D25" s="139"/>
      <c r="E25" s="291">
        <f>E26</f>
        <v>971.2</v>
      </c>
      <c r="F25" s="291">
        <f>F26</f>
        <v>0</v>
      </c>
      <c r="G25" s="291">
        <f>G26</f>
        <v>0</v>
      </c>
      <c r="H25" s="210"/>
    </row>
    <row r="26" spans="1:8" ht="60.75">
      <c r="A26" s="499" t="s">
        <v>628</v>
      </c>
      <c r="B26" s="500" t="s">
        <v>626</v>
      </c>
      <c r="C26" s="501"/>
      <c r="D26" s="501"/>
      <c r="E26" s="502">
        <f>E27+E28</f>
        <v>971.2</v>
      </c>
      <c r="F26" s="502">
        <f>F27+F28</f>
        <v>0</v>
      </c>
      <c r="G26" s="502">
        <f>G27+G28</f>
        <v>0</v>
      </c>
      <c r="H26" s="210"/>
    </row>
    <row r="27" spans="1:8" ht="15.75">
      <c r="A27" s="503" t="s">
        <v>146</v>
      </c>
      <c r="B27" s="501" t="s">
        <v>626</v>
      </c>
      <c r="C27" s="501" t="s">
        <v>143</v>
      </c>
      <c r="D27" s="501" t="s">
        <v>27</v>
      </c>
      <c r="E27" s="504">
        <f>97.1-97.1</f>
        <v>0</v>
      </c>
      <c r="F27" s="504">
        <v>0</v>
      </c>
      <c r="G27" s="505">
        <v>0</v>
      </c>
      <c r="H27" s="210"/>
    </row>
    <row r="28" spans="1:8" ht="15.75">
      <c r="A28" s="466" t="s">
        <v>146</v>
      </c>
      <c r="B28" s="467" t="s">
        <v>626</v>
      </c>
      <c r="C28" s="467" t="s">
        <v>143</v>
      </c>
      <c r="D28" s="467" t="s">
        <v>126</v>
      </c>
      <c r="E28" s="468">
        <v>971.2</v>
      </c>
      <c r="F28" s="468">
        <v>0</v>
      </c>
      <c r="G28" s="469">
        <v>0</v>
      </c>
      <c r="H28" s="210"/>
    </row>
    <row r="29" spans="1:8" ht="15.75">
      <c r="A29" s="223" t="s">
        <v>590</v>
      </c>
      <c r="B29" s="137" t="s">
        <v>588</v>
      </c>
      <c r="C29" s="139"/>
      <c r="D29" s="139"/>
      <c r="E29" s="291">
        <f aca="true" t="shared" si="3" ref="E29:G30">E30</f>
        <v>3887.3</v>
      </c>
      <c r="F29" s="291">
        <f t="shared" si="3"/>
        <v>0</v>
      </c>
      <c r="G29" s="291">
        <f t="shared" si="3"/>
        <v>0</v>
      </c>
      <c r="H29" s="210"/>
    </row>
    <row r="30" spans="1:8" ht="30.75">
      <c r="A30" s="225" t="s">
        <v>530</v>
      </c>
      <c r="B30" s="214" t="s">
        <v>589</v>
      </c>
      <c r="C30" s="215"/>
      <c r="D30" s="215"/>
      <c r="E30" s="297">
        <f t="shared" si="3"/>
        <v>3887.3</v>
      </c>
      <c r="F30" s="297">
        <f t="shared" si="3"/>
        <v>0</v>
      </c>
      <c r="G30" s="298">
        <f t="shared" si="3"/>
        <v>0</v>
      </c>
      <c r="H30" s="210"/>
    </row>
    <row r="31" spans="1:8" ht="15.75">
      <c r="A31" s="226" t="s">
        <v>146</v>
      </c>
      <c r="B31" s="95" t="s">
        <v>589</v>
      </c>
      <c r="C31" s="95" t="s">
        <v>143</v>
      </c>
      <c r="D31" s="95" t="s">
        <v>27</v>
      </c>
      <c r="E31" s="299">
        <f>777.6-388.9+3498.6</f>
        <v>3887.3</v>
      </c>
      <c r="F31" s="299">
        <v>0</v>
      </c>
      <c r="G31" s="300">
        <v>0</v>
      </c>
      <c r="H31" s="210"/>
    </row>
    <row r="32" spans="1:8" ht="15.75">
      <c r="A32" s="223" t="s">
        <v>608</v>
      </c>
      <c r="B32" s="137" t="s">
        <v>591</v>
      </c>
      <c r="C32" s="139"/>
      <c r="D32" s="139"/>
      <c r="E32" s="291">
        <f>E33</f>
        <v>4428.200000000001</v>
      </c>
      <c r="F32" s="291">
        <f>F33</f>
        <v>4428.200000000001</v>
      </c>
      <c r="G32" s="291">
        <f>G33</f>
        <v>3435.3999999999996</v>
      </c>
      <c r="H32" s="210"/>
    </row>
    <row r="33" spans="1:8" ht="45.75">
      <c r="A33" s="227" t="s">
        <v>531</v>
      </c>
      <c r="B33" s="185" t="s">
        <v>592</v>
      </c>
      <c r="C33" s="186"/>
      <c r="D33" s="186"/>
      <c r="E33" s="301">
        <f>E34+E35</f>
        <v>4428.200000000001</v>
      </c>
      <c r="F33" s="301">
        <f>F34+F35</f>
        <v>4428.200000000001</v>
      </c>
      <c r="G33" s="302">
        <f>G34+G35</f>
        <v>3435.3999999999996</v>
      </c>
      <c r="H33" s="210"/>
    </row>
    <row r="34" spans="1:8" ht="45.75">
      <c r="A34" s="244" t="s">
        <v>145</v>
      </c>
      <c r="B34" s="215" t="s">
        <v>592</v>
      </c>
      <c r="C34" s="215" t="s">
        <v>142</v>
      </c>
      <c r="D34" s="215" t="s">
        <v>27</v>
      </c>
      <c r="E34" s="303">
        <f>1948+0.4</f>
        <v>1948.4</v>
      </c>
      <c r="F34" s="303">
        <f>1948+0.4</f>
        <v>1948.4</v>
      </c>
      <c r="G34" s="304">
        <v>1511.6</v>
      </c>
      <c r="H34" s="210"/>
    </row>
    <row r="35" spans="1:8" ht="15.75">
      <c r="A35" s="226" t="s">
        <v>155</v>
      </c>
      <c r="B35" s="95" t="s">
        <v>592</v>
      </c>
      <c r="C35" s="95" t="s">
        <v>154</v>
      </c>
      <c r="D35" s="95" t="s">
        <v>27</v>
      </c>
      <c r="E35" s="299">
        <f>2479.3+0.4+0.1</f>
        <v>2479.8</v>
      </c>
      <c r="F35" s="299">
        <f>2479.3+0.4+0.1</f>
        <v>2479.8</v>
      </c>
      <c r="G35" s="300">
        <v>1923.8</v>
      </c>
      <c r="H35" s="210"/>
    </row>
    <row r="36" spans="1:7" ht="15.75">
      <c r="A36" s="3" t="s">
        <v>222</v>
      </c>
      <c r="B36" s="4" t="s">
        <v>375</v>
      </c>
      <c r="C36" s="4"/>
      <c r="D36" s="5"/>
      <c r="E36" s="283">
        <f>E37+E59+E92+E110+E128+E135+E171+E185+E191+E205+E218+E236</f>
        <v>2919447.4999999995</v>
      </c>
      <c r="F36" s="283">
        <f>F37+F59+F92+F110+F128+F135+F171+F185+F191+F205+F218+F236</f>
        <v>2880130</v>
      </c>
      <c r="G36" s="284">
        <f>G37+G59+G92+G110+G128+G135+G171+G185+G191+G205+G218+G236</f>
        <v>2890051.5999999996</v>
      </c>
    </row>
    <row r="37" spans="1:7" ht="30.75">
      <c r="A37" s="130" t="s">
        <v>380</v>
      </c>
      <c r="B37" s="135" t="s">
        <v>373</v>
      </c>
      <c r="C37" s="135"/>
      <c r="D37" s="136"/>
      <c r="E37" s="278">
        <f>E38+E50+E54+E43+E48+E45</f>
        <v>1272988.6</v>
      </c>
      <c r="F37" s="278">
        <f>F38+F50+F54+F43+F48+F45</f>
        <v>1271604</v>
      </c>
      <c r="G37" s="285">
        <f>G38+G50+G54+G43+G48+G45</f>
        <v>1271604.1</v>
      </c>
    </row>
    <row r="38" spans="1:7" ht="15.75">
      <c r="A38" s="19" t="s">
        <v>252</v>
      </c>
      <c r="B38" s="20" t="s">
        <v>376</v>
      </c>
      <c r="C38" s="20"/>
      <c r="D38" s="21"/>
      <c r="E38" s="260">
        <f>SUM(E39:E42)</f>
        <v>252818.19999999998</v>
      </c>
      <c r="F38" s="260">
        <f>SUM(F39:F42)</f>
        <v>251433.59999999998</v>
      </c>
      <c r="G38" s="261">
        <f>SUM(G39:G42)</f>
        <v>251433.69999999998</v>
      </c>
    </row>
    <row r="39" spans="1:8" ht="45">
      <c r="A39" s="12" t="s">
        <v>145</v>
      </c>
      <c r="B39" s="13" t="s">
        <v>376</v>
      </c>
      <c r="C39" s="13" t="s">
        <v>142</v>
      </c>
      <c r="D39" s="13" t="s">
        <v>26</v>
      </c>
      <c r="E39" s="271">
        <f>34229.7+0.1</f>
        <v>34229.799999999996</v>
      </c>
      <c r="F39" s="271">
        <v>34229.7</v>
      </c>
      <c r="G39" s="272">
        <f>34229.7+0.1</f>
        <v>34229.799999999996</v>
      </c>
      <c r="H39" s="202"/>
    </row>
    <row r="40" spans="1:8" ht="15">
      <c r="A40" s="14" t="s">
        <v>146</v>
      </c>
      <c r="B40" s="15" t="s">
        <v>376</v>
      </c>
      <c r="C40" s="15" t="s">
        <v>143</v>
      </c>
      <c r="D40" s="15" t="s">
        <v>26</v>
      </c>
      <c r="E40" s="269">
        <f>48659.2+1501.7+3+13.4+1483.4</f>
        <v>51660.7</v>
      </c>
      <c r="F40" s="269">
        <f>48563.7+1501.7+398.6</f>
        <v>50463.99999999999</v>
      </c>
      <c r="G40" s="269">
        <v>50464</v>
      </c>
      <c r="H40" s="202"/>
    </row>
    <row r="41" spans="1:8" ht="15">
      <c r="A41" s="194" t="s">
        <v>155</v>
      </c>
      <c r="B41" s="91" t="s">
        <v>376</v>
      </c>
      <c r="C41" s="91" t="s">
        <v>154</v>
      </c>
      <c r="D41" s="91" t="s">
        <v>26</v>
      </c>
      <c r="E41" s="273">
        <f>166154.3-1537.7</f>
        <v>164616.59999999998</v>
      </c>
      <c r="F41" s="273">
        <f>165966.5-1537.7</f>
        <v>164428.8</v>
      </c>
      <c r="G41" s="273">
        <f>165966.5-1537.7</f>
        <v>164428.8</v>
      </c>
      <c r="H41" s="202"/>
    </row>
    <row r="42" spans="1:8" ht="15">
      <c r="A42" s="16" t="s">
        <v>147</v>
      </c>
      <c r="B42" s="17" t="s">
        <v>376</v>
      </c>
      <c r="C42" s="17" t="s">
        <v>144</v>
      </c>
      <c r="D42" s="17" t="s">
        <v>26</v>
      </c>
      <c r="E42" s="274">
        <f>2275.1+36</f>
        <v>2311.1</v>
      </c>
      <c r="F42" s="274">
        <f>2275.1+36</f>
        <v>2311.1</v>
      </c>
      <c r="G42" s="274">
        <f>2275.1+36</f>
        <v>2311.1</v>
      </c>
      <c r="H42" s="202"/>
    </row>
    <row r="43" spans="1:8" ht="15.75">
      <c r="A43" s="9" t="s">
        <v>89</v>
      </c>
      <c r="B43" s="10" t="s">
        <v>398</v>
      </c>
      <c r="C43" s="10"/>
      <c r="D43" s="11"/>
      <c r="E43" s="260">
        <f>SUM(E44:E44)</f>
        <v>300</v>
      </c>
      <c r="F43" s="260">
        <f>SUM(F44:F44)</f>
        <v>300</v>
      </c>
      <c r="G43" s="261">
        <f>SUM(G44:G44)</f>
        <v>300</v>
      </c>
      <c r="H43" s="202"/>
    </row>
    <row r="44" spans="1:8" ht="15">
      <c r="A44" s="16" t="s">
        <v>146</v>
      </c>
      <c r="B44" s="17" t="s">
        <v>398</v>
      </c>
      <c r="C44" s="18" t="s">
        <v>143</v>
      </c>
      <c r="D44" s="17" t="s">
        <v>26</v>
      </c>
      <c r="E44" s="264">
        <v>300</v>
      </c>
      <c r="F44" s="264">
        <v>300</v>
      </c>
      <c r="G44" s="265">
        <v>300</v>
      </c>
      <c r="H44" s="202"/>
    </row>
    <row r="45" spans="1:8" ht="15.75">
      <c r="A45" s="9" t="s">
        <v>91</v>
      </c>
      <c r="B45" s="10" t="s">
        <v>400</v>
      </c>
      <c r="C45" s="10"/>
      <c r="D45" s="11"/>
      <c r="E45" s="260">
        <f>E46+E47</f>
        <v>119</v>
      </c>
      <c r="F45" s="260">
        <f>F46+F47</f>
        <v>119</v>
      </c>
      <c r="G45" s="261">
        <f>G46+G47</f>
        <v>119</v>
      </c>
      <c r="H45" s="202"/>
    </row>
    <row r="46" spans="1:8" ht="15">
      <c r="A46" s="244" t="s">
        <v>146</v>
      </c>
      <c r="B46" s="215" t="s">
        <v>400</v>
      </c>
      <c r="C46" s="215" t="s">
        <v>143</v>
      </c>
      <c r="D46" s="215" t="s">
        <v>26</v>
      </c>
      <c r="E46" s="303">
        <v>119</v>
      </c>
      <c r="F46" s="303">
        <v>119</v>
      </c>
      <c r="G46" s="304">
        <v>119</v>
      </c>
      <c r="H46" s="202"/>
    </row>
    <row r="47" spans="1:8" ht="15">
      <c r="A47" s="226" t="s">
        <v>155</v>
      </c>
      <c r="B47" s="95" t="s">
        <v>400</v>
      </c>
      <c r="C47" s="95" t="s">
        <v>154</v>
      </c>
      <c r="D47" s="95" t="s">
        <v>26</v>
      </c>
      <c r="E47" s="299">
        <v>0</v>
      </c>
      <c r="F47" s="299">
        <v>0</v>
      </c>
      <c r="G47" s="300">
        <v>0</v>
      </c>
      <c r="H47" s="202"/>
    </row>
    <row r="48" spans="1:8" ht="30.75">
      <c r="A48" s="9" t="s">
        <v>90</v>
      </c>
      <c r="B48" s="10" t="s">
        <v>399</v>
      </c>
      <c r="C48" s="10"/>
      <c r="D48" s="11"/>
      <c r="E48" s="260">
        <f>SUM(E49:E49)</f>
        <v>549.5</v>
      </c>
      <c r="F48" s="260">
        <f>SUM(F49:F49)</f>
        <v>549.5</v>
      </c>
      <c r="G48" s="261">
        <f>SUM(G49:G49)</f>
        <v>549.5</v>
      </c>
      <c r="H48" s="202"/>
    </row>
    <row r="49" spans="1:8" ht="15">
      <c r="A49" s="16" t="s">
        <v>146</v>
      </c>
      <c r="B49" s="17" t="s">
        <v>399</v>
      </c>
      <c r="C49" s="18" t="s">
        <v>143</v>
      </c>
      <c r="D49" s="17" t="s">
        <v>26</v>
      </c>
      <c r="E49" s="264">
        <v>549.5</v>
      </c>
      <c r="F49" s="264">
        <v>549.5</v>
      </c>
      <c r="G49" s="265">
        <v>549.5</v>
      </c>
      <c r="H49" s="202"/>
    </row>
    <row r="50" spans="1:8" ht="75.75">
      <c r="A50" s="9" t="s">
        <v>121</v>
      </c>
      <c r="B50" s="10" t="s">
        <v>381</v>
      </c>
      <c r="C50" s="10"/>
      <c r="D50" s="11"/>
      <c r="E50" s="266">
        <f>SUM(E51:E53)</f>
        <v>1000029.8</v>
      </c>
      <c r="F50" s="266">
        <f>SUM(F51:F53)</f>
        <v>1000029.8</v>
      </c>
      <c r="G50" s="305">
        <f>SUM(G51:G53)</f>
        <v>1000029.8</v>
      </c>
      <c r="H50" s="208"/>
    </row>
    <row r="51" spans="1:8" ht="45">
      <c r="A51" s="12" t="s">
        <v>145</v>
      </c>
      <c r="B51" s="13" t="s">
        <v>381</v>
      </c>
      <c r="C51" s="13" t="s">
        <v>142</v>
      </c>
      <c r="D51" s="13" t="s">
        <v>26</v>
      </c>
      <c r="E51" s="268">
        <v>323148.1</v>
      </c>
      <c r="F51" s="268">
        <v>323148.1</v>
      </c>
      <c r="G51" s="268">
        <v>323148.1</v>
      </c>
      <c r="H51" s="202"/>
    </row>
    <row r="52" spans="1:8" ht="15">
      <c r="A52" s="14" t="s">
        <v>146</v>
      </c>
      <c r="B52" s="15" t="s">
        <v>381</v>
      </c>
      <c r="C52" s="15" t="s">
        <v>143</v>
      </c>
      <c r="D52" s="15" t="s">
        <v>26</v>
      </c>
      <c r="E52" s="269">
        <v>16011.4</v>
      </c>
      <c r="F52" s="269">
        <v>16011.4</v>
      </c>
      <c r="G52" s="269">
        <v>16011.4</v>
      </c>
      <c r="H52" s="202"/>
    </row>
    <row r="53" spans="1:8" ht="15">
      <c r="A53" s="16" t="s">
        <v>155</v>
      </c>
      <c r="B53" s="17" t="s">
        <v>381</v>
      </c>
      <c r="C53" s="17" t="s">
        <v>154</v>
      </c>
      <c r="D53" s="17" t="s">
        <v>26</v>
      </c>
      <c r="E53" s="270">
        <v>660870.3</v>
      </c>
      <c r="F53" s="270">
        <v>660870.3</v>
      </c>
      <c r="G53" s="270">
        <v>660870.3</v>
      </c>
      <c r="H53" s="202"/>
    </row>
    <row r="54" spans="1:8" ht="45.75">
      <c r="A54" s="9" t="s">
        <v>169</v>
      </c>
      <c r="B54" s="10" t="s">
        <v>396</v>
      </c>
      <c r="C54" s="10"/>
      <c r="D54" s="11"/>
      <c r="E54" s="266">
        <f>SUM(E55:E58)</f>
        <v>19172.1</v>
      </c>
      <c r="F54" s="266">
        <f>SUM(F55:F58)</f>
        <v>19172.1</v>
      </c>
      <c r="G54" s="305">
        <f>SUM(G55:G58)</f>
        <v>19172.1</v>
      </c>
      <c r="H54" s="202"/>
    </row>
    <row r="55" spans="1:8" ht="45">
      <c r="A55" s="170" t="s">
        <v>145</v>
      </c>
      <c r="B55" s="29" t="s">
        <v>396</v>
      </c>
      <c r="C55" s="29" t="s">
        <v>142</v>
      </c>
      <c r="D55" s="29" t="s">
        <v>29</v>
      </c>
      <c r="E55" s="267">
        <v>1281.4</v>
      </c>
      <c r="F55" s="267">
        <v>1281.4</v>
      </c>
      <c r="G55" s="267">
        <v>1281.4</v>
      </c>
      <c r="H55" s="202"/>
    </row>
    <row r="56" spans="1:8" ht="15">
      <c r="A56" s="27" t="s">
        <v>146</v>
      </c>
      <c r="B56" s="28" t="s">
        <v>396</v>
      </c>
      <c r="C56" s="28" t="s">
        <v>143</v>
      </c>
      <c r="D56" s="28" t="s">
        <v>29</v>
      </c>
      <c r="E56" s="253">
        <v>256.3</v>
      </c>
      <c r="F56" s="253">
        <v>256.3</v>
      </c>
      <c r="G56" s="253">
        <v>256.3</v>
      </c>
      <c r="H56" s="202"/>
    </row>
    <row r="57" spans="1:8" ht="15">
      <c r="A57" s="34" t="s">
        <v>158</v>
      </c>
      <c r="B57" s="28" t="s">
        <v>396</v>
      </c>
      <c r="C57" s="28" t="s">
        <v>156</v>
      </c>
      <c r="D57" s="28" t="s">
        <v>33</v>
      </c>
      <c r="E57" s="253">
        <v>5191.3</v>
      </c>
      <c r="F57" s="253">
        <v>5191.3</v>
      </c>
      <c r="G57" s="253">
        <v>5191.3</v>
      </c>
      <c r="H57" s="202"/>
    </row>
    <row r="58" spans="1:8" ht="15">
      <c r="A58" s="23" t="s">
        <v>155</v>
      </c>
      <c r="B58" s="24" t="s">
        <v>396</v>
      </c>
      <c r="C58" s="24" t="s">
        <v>154</v>
      </c>
      <c r="D58" s="24" t="s">
        <v>33</v>
      </c>
      <c r="E58" s="255">
        <v>12443.1</v>
      </c>
      <c r="F58" s="255">
        <v>12443.1</v>
      </c>
      <c r="G58" s="255">
        <v>12443.1</v>
      </c>
      <c r="H58" s="202"/>
    </row>
    <row r="59" spans="1:7" ht="33" customHeight="1">
      <c r="A59" s="130" t="s">
        <v>397</v>
      </c>
      <c r="B59" s="135" t="s">
        <v>377</v>
      </c>
      <c r="C59" s="135"/>
      <c r="D59" s="136"/>
      <c r="E59" s="278">
        <f>E60+E82+E75+E77+E79+E85+E88+E73+E71</f>
        <v>1150766.1999999997</v>
      </c>
      <c r="F59" s="278">
        <f>F60+F82+F75+F77+F79+F85+F88+F73+F71</f>
        <v>1149261.2</v>
      </c>
      <c r="G59" s="278">
        <f>G60+G82+G75+G77+G79+G85+G88+G73+G71</f>
        <v>1150386.0999999999</v>
      </c>
    </row>
    <row r="60" spans="1:7" ht="15.75">
      <c r="A60" s="9" t="s">
        <v>252</v>
      </c>
      <c r="B60" s="10" t="s">
        <v>401</v>
      </c>
      <c r="C60" s="10"/>
      <c r="D60" s="11"/>
      <c r="E60" s="266">
        <f>SUM(E61:E70)</f>
        <v>207631.3</v>
      </c>
      <c r="F60" s="266">
        <f>SUM(F61:F70)</f>
        <v>205838</v>
      </c>
      <c r="G60" s="305">
        <f>SUM(G61:G70)</f>
        <v>205838</v>
      </c>
    </row>
    <row r="61" spans="1:8" ht="45">
      <c r="A61" s="197" t="s">
        <v>145</v>
      </c>
      <c r="B61" s="104" t="s">
        <v>401</v>
      </c>
      <c r="C61" s="104" t="s">
        <v>142</v>
      </c>
      <c r="D61" s="104" t="s">
        <v>26</v>
      </c>
      <c r="E61" s="268">
        <f>16604.1+134.1</f>
        <v>16738.199999999997</v>
      </c>
      <c r="F61" s="268">
        <v>16604.1</v>
      </c>
      <c r="G61" s="306">
        <v>16604.1</v>
      </c>
      <c r="H61" s="202"/>
    </row>
    <row r="62" spans="1:8" ht="45">
      <c r="A62" s="34" t="s">
        <v>145</v>
      </c>
      <c r="B62" s="35" t="s">
        <v>401</v>
      </c>
      <c r="C62" s="35" t="s">
        <v>142</v>
      </c>
      <c r="D62" s="35" t="s">
        <v>27</v>
      </c>
      <c r="E62" s="269">
        <v>12409</v>
      </c>
      <c r="F62" s="269">
        <v>12409</v>
      </c>
      <c r="G62" s="269">
        <v>12409</v>
      </c>
      <c r="H62" s="202"/>
    </row>
    <row r="63" spans="1:8" ht="45">
      <c r="A63" s="34" t="s">
        <v>145</v>
      </c>
      <c r="B63" s="35" t="s">
        <v>401</v>
      </c>
      <c r="C63" s="35" t="s">
        <v>142</v>
      </c>
      <c r="D63" s="35" t="s">
        <v>29</v>
      </c>
      <c r="E63" s="269">
        <v>1062.2</v>
      </c>
      <c r="F63" s="269">
        <v>1062.2</v>
      </c>
      <c r="G63" s="269">
        <v>1062.2</v>
      </c>
      <c r="H63" s="202"/>
    </row>
    <row r="64" spans="1:8" ht="15">
      <c r="A64" s="34" t="s">
        <v>146</v>
      </c>
      <c r="B64" s="35" t="s">
        <v>401</v>
      </c>
      <c r="C64" s="35" t="s">
        <v>143</v>
      </c>
      <c r="D64" s="35" t="s">
        <v>26</v>
      </c>
      <c r="E64" s="269">
        <f>20788.4-0.1+1284.7</f>
        <v>22073.000000000004</v>
      </c>
      <c r="F64" s="269">
        <f>20753.8-0.1</f>
        <v>20753.7</v>
      </c>
      <c r="G64" s="269">
        <f>20753.8-0.1</f>
        <v>20753.7</v>
      </c>
      <c r="H64" s="202"/>
    </row>
    <row r="65" spans="1:8" ht="15">
      <c r="A65" s="34" t="s">
        <v>146</v>
      </c>
      <c r="B65" s="35" t="s">
        <v>401</v>
      </c>
      <c r="C65" s="35" t="s">
        <v>143</v>
      </c>
      <c r="D65" s="35" t="s">
        <v>27</v>
      </c>
      <c r="E65" s="269">
        <f>50715.3+5305.4+1.5+27.3+141.3</f>
        <v>56190.80000000001</v>
      </c>
      <c r="F65" s="269">
        <f>50715.3+5305.4</f>
        <v>56020.700000000004</v>
      </c>
      <c r="G65" s="269">
        <f>50715.3+5305.4</f>
        <v>56020.700000000004</v>
      </c>
      <c r="H65" s="202"/>
    </row>
    <row r="66" spans="1:8" ht="15">
      <c r="A66" s="34" t="s">
        <v>146</v>
      </c>
      <c r="B66" s="35" t="s">
        <v>401</v>
      </c>
      <c r="C66" s="35" t="s">
        <v>143</v>
      </c>
      <c r="D66" s="35" t="s">
        <v>29</v>
      </c>
      <c r="E66" s="269">
        <f>726.2+19.7</f>
        <v>745.9000000000001</v>
      </c>
      <c r="F66" s="269">
        <v>726.2</v>
      </c>
      <c r="G66" s="269">
        <v>726.2</v>
      </c>
      <c r="H66" s="202"/>
    </row>
    <row r="67" spans="1:8" ht="15">
      <c r="A67" s="34" t="s">
        <v>155</v>
      </c>
      <c r="B67" s="35" t="s">
        <v>401</v>
      </c>
      <c r="C67" s="35" t="s">
        <v>154</v>
      </c>
      <c r="D67" s="35" t="s">
        <v>26</v>
      </c>
      <c r="E67" s="269">
        <v>5063</v>
      </c>
      <c r="F67" s="269">
        <v>5059.9</v>
      </c>
      <c r="G67" s="275">
        <v>5059.9</v>
      </c>
      <c r="H67" s="202"/>
    </row>
    <row r="68" spans="1:8" ht="15">
      <c r="A68" s="34" t="s">
        <v>155</v>
      </c>
      <c r="B68" s="35" t="s">
        <v>401</v>
      </c>
      <c r="C68" s="35" t="s">
        <v>154</v>
      </c>
      <c r="D68" s="35" t="s">
        <v>27</v>
      </c>
      <c r="E68" s="269">
        <f>93027.3-5377.6</f>
        <v>87649.7</v>
      </c>
      <c r="F68" s="269">
        <f>93027.3-5377.6</f>
        <v>87649.7</v>
      </c>
      <c r="G68" s="269">
        <f>93027.3-5377.6</f>
        <v>87649.7</v>
      </c>
      <c r="H68" s="202"/>
    </row>
    <row r="69" spans="1:8" ht="15">
      <c r="A69" s="34" t="s">
        <v>147</v>
      </c>
      <c r="B69" s="35" t="s">
        <v>401</v>
      </c>
      <c r="C69" s="35" t="s">
        <v>144</v>
      </c>
      <c r="D69" s="35" t="s">
        <v>26</v>
      </c>
      <c r="E69" s="269">
        <v>531.8</v>
      </c>
      <c r="F69" s="269">
        <v>531.8</v>
      </c>
      <c r="G69" s="275">
        <v>531.8</v>
      </c>
      <c r="H69" s="202"/>
    </row>
    <row r="70" spans="1:8" ht="15">
      <c r="A70" s="32" t="s">
        <v>147</v>
      </c>
      <c r="B70" s="33" t="s">
        <v>401</v>
      </c>
      <c r="C70" s="33" t="s">
        <v>144</v>
      </c>
      <c r="D70" s="33" t="s">
        <v>27</v>
      </c>
      <c r="E70" s="274">
        <f>4948.5+72.2+147</f>
        <v>5167.7</v>
      </c>
      <c r="F70" s="274">
        <f>4948.5+72.2</f>
        <v>5020.7</v>
      </c>
      <c r="G70" s="274">
        <f>4948.5+72.2</f>
        <v>5020.7</v>
      </c>
      <c r="H70" s="202"/>
    </row>
    <row r="71" spans="1:8" ht="15.75">
      <c r="A71" s="19" t="s">
        <v>610</v>
      </c>
      <c r="B71" s="20" t="s">
        <v>536</v>
      </c>
      <c r="C71" s="20"/>
      <c r="D71" s="21"/>
      <c r="E71" s="260">
        <f>SUM(E72:E72)</f>
        <v>709.9</v>
      </c>
      <c r="F71" s="260">
        <f>SUM(F72:F72)</f>
        <v>0</v>
      </c>
      <c r="G71" s="261">
        <f>SUM(G72:G72)</f>
        <v>0</v>
      </c>
      <c r="H71" s="202"/>
    </row>
    <row r="72" spans="1:8" ht="15">
      <c r="A72" s="34" t="s">
        <v>155</v>
      </c>
      <c r="B72" s="35" t="s">
        <v>536</v>
      </c>
      <c r="C72" s="35" t="s">
        <v>154</v>
      </c>
      <c r="D72" s="35" t="s">
        <v>27</v>
      </c>
      <c r="E72" s="269">
        <f>710-0.1</f>
        <v>709.9</v>
      </c>
      <c r="F72" s="269">
        <v>0</v>
      </c>
      <c r="G72" s="275">
        <v>0</v>
      </c>
      <c r="H72" s="202"/>
    </row>
    <row r="73" spans="1:8" ht="30.75">
      <c r="A73" s="19" t="s">
        <v>94</v>
      </c>
      <c r="B73" s="20" t="s">
        <v>404</v>
      </c>
      <c r="C73" s="20"/>
      <c r="D73" s="21"/>
      <c r="E73" s="260">
        <f>SUM(E74:E74)</f>
        <v>200</v>
      </c>
      <c r="F73" s="260">
        <f>SUM(F74:F74)</f>
        <v>200</v>
      </c>
      <c r="G73" s="261">
        <f>SUM(G74:G74)</f>
        <v>200</v>
      </c>
      <c r="H73" s="202"/>
    </row>
    <row r="74" spans="1:8" ht="15">
      <c r="A74" s="27" t="s">
        <v>146</v>
      </c>
      <c r="B74" s="28" t="s">
        <v>404</v>
      </c>
      <c r="C74" s="35" t="s">
        <v>143</v>
      </c>
      <c r="D74" s="28" t="s">
        <v>27</v>
      </c>
      <c r="E74" s="269">
        <v>200</v>
      </c>
      <c r="F74" s="307">
        <v>200</v>
      </c>
      <c r="G74" s="308">
        <v>200</v>
      </c>
      <c r="H74" s="202"/>
    </row>
    <row r="75" spans="1:8" ht="15.75">
      <c r="A75" s="9" t="s">
        <v>95</v>
      </c>
      <c r="B75" s="10" t="s">
        <v>405</v>
      </c>
      <c r="C75" s="10"/>
      <c r="D75" s="11"/>
      <c r="E75" s="260">
        <f>SUM(E76:E76)</f>
        <v>60</v>
      </c>
      <c r="F75" s="266">
        <f>SUM(F76:F76)</f>
        <v>60</v>
      </c>
      <c r="G75" s="305">
        <f>SUM(G76:G76)</f>
        <v>60</v>
      </c>
      <c r="H75" s="202"/>
    </row>
    <row r="76" spans="1:8" ht="45">
      <c r="A76" s="32" t="s">
        <v>145</v>
      </c>
      <c r="B76" s="24" t="s">
        <v>405</v>
      </c>
      <c r="C76" s="33" t="s">
        <v>142</v>
      </c>
      <c r="D76" s="33" t="s">
        <v>27</v>
      </c>
      <c r="E76" s="274">
        <v>60</v>
      </c>
      <c r="F76" s="309">
        <v>60</v>
      </c>
      <c r="G76" s="310">
        <v>60</v>
      </c>
      <c r="H76" s="202"/>
    </row>
    <row r="77" spans="1:8" ht="15.75">
      <c r="A77" s="19" t="s">
        <v>93</v>
      </c>
      <c r="B77" s="20" t="s">
        <v>403</v>
      </c>
      <c r="C77" s="20"/>
      <c r="D77" s="21"/>
      <c r="E77" s="266">
        <f>E78</f>
        <v>260</v>
      </c>
      <c r="F77" s="266">
        <f>F78</f>
        <v>260</v>
      </c>
      <c r="G77" s="305">
        <f>G78</f>
        <v>260</v>
      </c>
      <c r="H77" s="202"/>
    </row>
    <row r="78" spans="1:8" ht="15">
      <c r="A78" s="32" t="s">
        <v>146</v>
      </c>
      <c r="B78" s="33" t="s">
        <v>403</v>
      </c>
      <c r="C78" s="33" t="s">
        <v>143</v>
      </c>
      <c r="D78" s="33" t="s">
        <v>27</v>
      </c>
      <c r="E78" s="309">
        <v>260</v>
      </c>
      <c r="F78" s="309">
        <v>260</v>
      </c>
      <c r="G78" s="310">
        <v>260</v>
      </c>
      <c r="H78" s="202"/>
    </row>
    <row r="79" spans="1:8" ht="15.75">
      <c r="A79" s="9" t="s">
        <v>96</v>
      </c>
      <c r="B79" s="10" t="s">
        <v>406</v>
      </c>
      <c r="C79" s="10"/>
      <c r="D79" s="11"/>
      <c r="E79" s="260">
        <f>E81+E80</f>
        <v>380</v>
      </c>
      <c r="F79" s="260">
        <f>F81+F80</f>
        <v>380</v>
      </c>
      <c r="G79" s="260">
        <f>G81+G80</f>
        <v>380</v>
      </c>
      <c r="H79" s="202"/>
    </row>
    <row r="80" spans="1:8" ht="15">
      <c r="A80" s="30" t="s">
        <v>146</v>
      </c>
      <c r="B80" s="31" t="s">
        <v>406</v>
      </c>
      <c r="C80" s="31" t="s">
        <v>143</v>
      </c>
      <c r="D80" s="31" t="s">
        <v>27</v>
      </c>
      <c r="E80" s="271">
        <v>0</v>
      </c>
      <c r="F80" s="271">
        <v>0</v>
      </c>
      <c r="G80" s="272">
        <v>0</v>
      </c>
      <c r="H80" s="202"/>
    </row>
    <row r="81" spans="1:8" ht="15">
      <c r="A81" s="154" t="s">
        <v>146</v>
      </c>
      <c r="B81" s="73" t="s">
        <v>406</v>
      </c>
      <c r="C81" s="73" t="s">
        <v>143</v>
      </c>
      <c r="D81" s="73" t="s">
        <v>29</v>
      </c>
      <c r="E81" s="311">
        <v>380</v>
      </c>
      <c r="F81" s="311">
        <v>380</v>
      </c>
      <c r="G81" s="312">
        <v>380</v>
      </c>
      <c r="H81" s="202"/>
    </row>
    <row r="82" spans="1:8" ht="15.75">
      <c r="A82" s="19" t="s">
        <v>92</v>
      </c>
      <c r="B82" s="20" t="s">
        <v>402</v>
      </c>
      <c r="C82" s="20"/>
      <c r="D82" s="21"/>
      <c r="E82" s="260">
        <f>E83+E84</f>
        <v>13726.4</v>
      </c>
      <c r="F82" s="260">
        <f>F83+F84</f>
        <v>13726.4</v>
      </c>
      <c r="G82" s="261">
        <f>G83+G84</f>
        <v>13726.4</v>
      </c>
      <c r="H82" s="202"/>
    </row>
    <row r="83" spans="1:8" ht="45">
      <c r="A83" s="105" t="s">
        <v>145</v>
      </c>
      <c r="B83" s="69" t="s">
        <v>402</v>
      </c>
      <c r="C83" s="69" t="s">
        <v>142</v>
      </c>
      <c r="D83" s="69" t="s">
        <v>27</v>
      </c>
      <c r="E83" s="268">
        <v>6153.2</v>
      </c>
      <c r="F83" s="268">
        <v>6153.2</v>
      </c>
      <c r="G83" s="268">
        <v>6153.2</v>
      </c>
      <c r="H83" s="202"/>
    </row>
    <row r="84" spans="1:8" ht="15">
      <c r="A84" s="22" t="s">
        <v>155</v>
      </c>
      <c r="B84" s="18" t="s">
        <v>402</v>
      </c>
      <c r="C84" s="18" t="s">
        <v>154</v>
      </c>
      <c r="D84" s="18" t="s">
        <v>27</v>
      </c>
      <c r="E84" s="274">
        <v>7573.2</v>
      </c>
      <c r="F84" s="274">
        <v>7573.2</v>
      </c>
      <c r="G84" s="274">
        <v>7573.2</v>
      </c>
      <c r="H84" s="202"/>
    </row>
    <row r="85" spans="1:8" ht="60.75">
      <c r="A85" s="227" t="s">
        <v>540</v>
      </c>
      <c r="B85" s="185" t="s">
        <v>469</v>
      </c>
      <c r="C85" s="185"/>
      <c r="D85" s="21"/>
      <c r="E85" s="260">
        <f>E86+E87</f>
        <v>30099.899999999998</v>
      </c>
      <c r="F85" s="260">
        <f>F86+F87</f>
        <v>31098.1</v>
      </c>
      <c r="G85" s="261">
        <f>G86+G87</f>
        <v>32223</v>
      </c>
      <c r="H85" s="202"/>
    </row>
    <row r="86" spans="1:8" ht="45">
      <c r="A86" s="229" t="s">
        <v>145</v>
      </c>
      <c r="B86" s="96" t="s">
        <v>469</v>
      </c>
      <c r="C86" s="96" t="s">
        <v>142</v>
      </c>
      <c r="D86" s="200" t="s">
        <v>27</v>
      </c>
      <c r="E86" s="262">
        <f>12675.3+628.8</f>
        <v>13304.099999999999</v>
      </c>
      <c r="F86" s="262">
        <f>12675.3+1002</f>
        <v>13677.3</v>
      </c>
      <c r="G86" s="263">
        <v>14177.3</v>
      </c>
      <c r="H86" s="202"/>
    </row>
    <row r="87" spans="1:8" ht="15">
      <c r="A87" s="226" t="s">
        <v>155</v>
      </c>
      <c r="B87" s="95" t="s">
        <v>469</v>
      </c>
      <c r="C87" s="95" t="s">
        <v>154</v>
      </c>
      <c r="D87" s="18" t="s">
        <v>27</v>
      </c>
      <c r="E87" s="264">
        <f>15858.4+937.4</f>
        <v>16795.8</v>
      </c>
      <c r="F87" s="264">
        <f>15858.4+1562.4</f>
        <v>17420.8</v>
      </c>
      <c r="G87" s="265">
        <v>18045.7</v>
      </c>
      <c r="H87" s="202"/>
    </row>
    <row r="88" spans="1:8" ht="90.75">
      <c r="A88" s="9" t="s">
        <v>122</v>
      </c>
      <c r="B88" s="10" t="s">
        <v>407</v>
      </c>
      <c r="C88" s="10"/>
      <c r="D88" s="11"/>
      <c r="E88" s="260">
        <f>SUM(E89:E91)</f>
        <v>897698.7</v>
      </c>
      <c r="F88" s="260">
        <f>SUM(F89:F91)</f>
        <v>897698.7</v>
      </c>
      <c r="G88" s="260">
        <f>SUM(G89:G91)</f>
        <v>897698.7</v>
      </c>
      <c r="H88" s="202"/>
    </row>
    <row r="89" spans="1:8" ht="45">
      <c r="A89" s="12" t="s">
        <v>145</v>
      </c>
      <c r="B89" s="13" t="s">
        <v>407</v>
      </c>
      <c r="C89" s="13" t="s">
        <v>142</v>
      </c>
      <c r="D89" s="13" t="s">
        <v>27</v>
      </c>
      <c r="E89" s="276">
        <v>361008.1</v>
      </c>
      <c r="F89" s="276">
        <v>361008.1</v>
      </c>
      <c r="G89" s="276">
        <v>361008.1</v>
      </c>
      <c r="H89" s="202"/>
    </row>
    <row r="90" spans="1:8" ht="15">
      <c r="A90" s="14" t="s">
        <v>146</v>
      </c>
      <c r="B90" s="15" t="s">
        <v>407</v>
      </c>
      <c r="C90" s="15" t="s">
        <v>143</v>
      </c>
      <c r="D90" s="15" t="s">
        <v>27</v>
      </c>
      <c r="E90" s="270">
        <v>24909.9</v>
      </c>
      <c r="F90" s="270">
        <v>24909.9</v>
      </c>
      <c r="G90" s="270">
        <v>24909.9</v>
      </c>
      <c r="H90" s="202"/>
    </row>
    <row r="91" spans="1:8" ht="15">
      <c r="A91" s="16" t="s">
        <v>155</v>
      </c>
      <c r="B91" s="17" t="s">
        <v>407</v>
      </c>
      <c r="C91" s="17" t="s">
        <v>154</v>
      </c>
      <c r="D91" s="17" t="s">
        <v>27</v>
      </c>
      <c r="E91" s="277">
        <v>511780.7</v>
      </c>
      <c r="F91" s="277">
        <v>511780.7</v>
      </c>
      <c r="G91" s="277">
        <v>511780.7</v>
      </c>
      <c r="H91" s="202"/>
    </row>
    <row r="92" spans="1:7" ht="30.75">
      <c r="A92" s="130" t="s">
        <v>415</v>
      </c>
      <c r="B92" s="135" t="s">
        <v>378</v>
      </c>
      <c r="C92" s="135"/>
      <c r="D92" s="136"/>
      <c r="E92" s="278">
        <f>E93+E105+E99+E102+E108</f>
        <v>173469.7</v>
      </c>
      <c r="F92" s="278">
        <f>F93+F105+F99+F102+F108</f>
        <v>172998.4</v>
      </c>
      <c r="G92" s="285">
        <f>G93+G105+G99+G102+G108</f>
        <v>173000.3</v>
      </c>
    </row>
    <row r="93" spans="1:8" ht="15.75">
      <c r="A93" s="9" t="s">
        <v>252</v>
      </c>
      <c r="B93" s="10" t="s">
        <v>416</v>
      </c>
      <c r="C93" s="10"/>
      <c r="D93" s="11"/>
      <c r="E93" s="260">
        <f>SUM(E94:E98)</f>
        <v>142497.1</v>
      </c>
      <c r="F93" s="260">
        <f>SUM(F94:F98)</f>
        <v>138546.4</v>
      </c>
      <c r="G93" s="261">
        <f>SUM(G94:G98)</f>
        <v>138546.4</v>
      </c>
      <c r="H93" s="202"/>
    </row>
    <row r="94" spans="1:8" ht="45">
      <c r="A94" s="30" t="s">
        <v>145</v>
      </c>
      <c r="B94" s="31" t="s">
        <v>416</v>
      </c>
      <c r="C94" s="31" t="s">
        <v>142</v>
      </c>
      <c r="D94" s="31" t="s">
        <v>126</v>
      </c>
      <c r="E94" s="267">
        <f>10059+472.8</f>
        <v>10531.8</v>
      </c>
      <c r="F94" s="267">
        <v>10059</v>
      </c>
      <c r="G94" s="313">
        <v>10059</v>
      </c>
      <c r="H94" s="202"/>
    </row>
    <row r="95" spans="1:8" ht="15">
      <c r="A95" s="27" t="s">
        <v>146</v>
      </c>
      <c r="B95" s="28" t="s">
        <v>416</v>
      </c>
      <c r="C95" s="28" t="s">
        <v>143</v>
      </c>
      <c r="D95" s="28" t="s">
        <v>126</v>
      </c>
      <c r="E95" s="253">
        <f>3273.2+0.3+46.6</f>
        <v>3320.1</v>
      </c>
      <c r="F95" s="253">
        <v>3273.2</v>
      </c>
      <c r="G95" s="314">
        <v>3273.2</v>
      </c>
      <c r="H95" s="202"/>
    </row>
    <row r="96" spans="1:8" ht="15">
      <c r="A96" s="27" t="s">
        <v>155</v>
      </c>
      <c r="B96" s="28" t="s">
        <v>416</v>
      </c>
      <c r="C96" s="28" t="s">
        <v>154</v>
      </c>
      <c r="D96" s="28" t="s">
        <v>126</v>
      </c>
      <c r="E96" s="253">
        <f>69505.3+3083.7</f>
        <v>72589</v>
      </c>
      <c r="F96" s="253">
        <v>69505.3</v>
      </c>
      <c r="G96" s="253">
        <v>69505.3</v>
      </c>
      <c r="H96" s="202"/>
    </row>
    <row r="97" spans="1:8" ht="15">
      <c r="A97" s="27" t="s">
        <v>155</v>
      </c>
      <c r="B97" s="28" t="s">
        <v>416</v>
      </c>
      <c r="C97" s="28" t="s">
        <v>154</v>
      </c>
      <c r="D97" s="28" t="s">
        <v>240</v>
      </c>
      <c r="E97" s="253">
        <f>55706.5+347.3</f>
        <v>56053.8</v>
      </c>
      <c r="F97" s="253">
        <v>55706.5</v>
      </c>
      <c r="G97" s="253">
        <v>55706.5</v>
      </c>
      <c r="H97" s="212"/>
    </row>
    <row r="98" spans="1:8" ht="15">
      <c r="A98" s="23" t="s">
        <v>147</v>
      </c>
      <c r="B98" s="24" t="s">
        <v>416</v>
      </c>
      <c r="C98" s="24" t="s">
        <v>144</v>
      </c>
      <c r="D98" s="24" t="s">
        <v>126</v>
      </c>
      <c r="E98" s="255">
        <v>2.4</v>
      </c>
      <c r="F98" s="255">
        <v>2.4</v>
      </c>
      <c r="G98" s="315">
        <v>2.4</v>
      </c>
      <c r="H98" s="202"/>
    </row>
    <row r="99" spans="1:8" ht="15.75">
      <c r="A99" s="9" t="s">
        <v>97</v>
      </c>
      <c r="B99" s="10" t="s">
        <v>418</v>
      </c>
      <c r="C99" s="10"/>
      <c r="D99" s="11"/>
      <c r="E99" s="260">
        <f>SUM(E100:E101)</f>
        <v>321</v>
      </c>
      <c r="F99" s="260">
        <f>SUM(F100:F101)</f>
        <v>321</v>
      </c>
      <c r="G99" s="261">
        <f>SUM(G100:G101)</f>
        <v>321</v>
      </c>
      <c r="H99" s="202"/>
    </row>
    <row r="100" spans="1:8" ht="45">
      <c r="A100" s="170" t="s">
        <v>145</v>
      </c>
      <c r="B100" s="29" t="s">
        <v>418</v>
      </c>
      <c r="C100" s="29" t="s">
        <v>142</v>
      </c>
      <c r="D100" s="29" t="s">
        <v>29</v>
      </c>
      <c r="E100" s="271">
        <v>141</v>
      </c>
      <c r="F100" s="271">
        <v>141</v>
      </c>
      <c r="G100" s="272">
        <v>141</v>
      </c>
      <c r="H100" s="220"/>
    </row>
    <row r="101" spans="1:8" ht="15">
      <c r="A101" s="180" t="s">
        <v>146</v>
      </c>
      <c r="B101" s="195" t="s">
        <v>418</v>
      </c>
      <c r="C101" s="196" t="s">
        <v>143</v>
      </c>
      <c r="D101" s="195" t="s">
        <v>29</v>
      </c>
      <c r="E101" s="273">
        <v>180</v>
      </c>
      <c r="F101" s="273">
        <v>180</v>
      </c>
      <c r="G101" s="289">
        <v>180</v>
      </c>
      <c r="H101" s="202"/>
    </row>
    <row r="102" spans="1:8" ht="15.75">
      <c r="A102" s="9" t="s">
        <v>98</v>
      </c>
      <c r="B102" s="10" t="s">
        <v>419</v>
      </c>
      <c r="C102" s="10"/>
      <c r="D102" s="11"/>
      <c r="E102" s="260">
        <f>SUM(E103:E104)</f>
        <v>500</v>
      </c>
      <c r="F102" s="260">
        <f>SUM(F103:F104)</f>
        <v>500</v>
      </c>
      <c r="G102" s="260">
        <f>SUM(G103:G104)</f>
        <v>500</v>
      </c>
      <c r="H102" s="202"/>
    </row>
    <row r="103" spans="1:8" ht="15">
      <c r="A103" s="170" t="s">
        <v>146</v>
      </c>
      <c r="B103" s="29" t="s">
        <v>419</v>
      </c>
      <c r="C103" s="31" t="s">
        <v>143</v>
      </c>
      <c r="D103" s="29" t="s">
        <v>29</v>
      </c>
      <c r="E103" s="271">
        <v>365</v>
      </c>
      <c r="F103" s="271">
        <v>365</v>
      </c>
      <c r="G103" s="271">
        <v>365</v>
      </c>
      <c r="H103" s="202"/>
    </row>
    <row r="104" spans="1:8" ht="15">
      <c r="A104" s="180" t="s">
        <v>158</v>
      </c>
      <c r="B104" s="195" t="s">
        <v>419</v>
      </c>
      <c r="C104" s="196" t="s">
        <v>156</v>
      </c>
      <c r="D104" s="195" t="s">
        <v>29</v>
      </c>
      <c r="E104" s="273">
        <v>135</v>
      </c>
      <c r="F104" s="273">
        <v>135</v>
      </c>
      <c r="G104" s="273">
        <v>135</v>
      </c>
      <c r="H104" s="202"/>
    </row>
    <row r="105" spans="1:8" ht="30.75">
      <c r="A105" s="228" t="s">
        <v>173</v>
      </c>
      <c r="B105" s="97" t="s">
        <v>417</v>
      </c>
      <c r="C105" s="162"/>
      <c r="D105" s="162"/>
      <c r="E105" s="316">
        <f>E106+E107</f>
        <v>29984.899999999998</v>
      </c>
      <c r="F105" s="316">
        <f>F106+F107</f>
        <v>33462.5</v>
      </c>
      <c r="G105" s="317">
        <f>G106+G107</f>
        <v>33462.5</v>
      </c>
      <c r="H105" s="202"/>
    </row>
    <row r="106" spans="1:8" ht="15">
      <c r="A106" s="229" t="s">
        <v>155</v>
      </c>
      <c r="B106" s="96" t="s">
        <v>417</v>
      </c>
      <c r="C106" s="198" t="s">
        <v>154</v>
      </c>
      <c r="D106" s="198" t="s">
        <v>126</v>
      </c>
      <c r="E106" s="318">
        <f>33111.1-3431</f>
        <v>29680.1</v>
      </c>
      <c r="F106" s="318">
        <v>33111.1</v>
      </c>
      <c r="G106" s="319">
        <v>33111.1</v>
      </c>
      <c r="H106" s="202"/>
    </row>
    <row r="107" spans="1:8" ht="15">
      <c r="A107" s="199" t="s">
        <v>147</v>
      </c>
      <c r="B107" s="175" t="s">
        <v>417</v>
      </c>
      <c r="C107" s="175" t="s">
        <v>144</v>
      </c>
      <c r="D107" s="175" t="s">
        <v>126</v>
      </c>
      <c r="E107" s="299">
        <f>351.4-46.6</f>
        <v>304.79999999999995</v>
      </c>
      <c r="F107" s="299">
        <v>351.4</v>
      </c>
      <c r="G107" s="300">
        <v>351.4</v>
      </c>
      <c r="H107" s="202"/>
    </row>
    <row r="108" spans="1:8" ht="15.75">
      <c r="A108" s="9" t="s">
        <v>162</v>
      </c>
      <c r="B108" s="10" t="s">
        <v>458</v>
      </c>
      <c r="C108" s="10"/>
      <c r="D108" s="11"/>
      <c r="E108" s="260">
        <f>SUM(E109:E109)</f>
        <v>166.7</v>
      </c>
      <c r="F108" s="260">
        <f>SUM(F109:F109)</f>
        <v>168.5</v>
      </c>
      <c r="G108" s="261">
        <f>SUM(G109:G109)</f>
        <v>170.4</v>
      </c>
      <c r="H108" s="202"/>
    </row>
    <row r="109" spans="1:8" ht="15">
      <c r="A109" s="23" t="s">
        <v>146</v>
      </c>
      <c r="B109" s="24" t="s">
        <v>458</v>
      </c>
      <c r="C109" s="33" t="s">
        <v>143</v>
      </c>
      <c r="D109" s="24" t="s">
        <v>188</v>
      </c>
      <c r="E109" s="274">
        <f>16.7+150</f>
        <v>166.7</v>
      </c>
      <c r="F109" s="274">
        <f>18.5+150</f>
        <v>168.5</v>
      </c>
      <c r="G109" s="320">
        <f>20.5+150-0.1</f>
        <v>170.4</v>
      </c>
      <c r="H109" s="202"/>
    </row>
    <row r="110" spans="1:7" ht="30.75">
      <c r="A110" s="130" t="s">
        <v>382</v>
      </c>
      <c r="B110" s="135" t="s">
        <v>379</v>
      </c>
      <c r="C110" s="135"/>
      <c r="D110" s="136"/>
      <c r="E110" s="278">
        <f>E111+E118+E125</f>
        <v>4322.799999999999</v>
      </c>
      <c r="F110" s="278">
        <f>F111+F118+F125</f>
        <v>3869.7</v>
      </c>
      <c r="G110" s="285">
        <f>G111+G118+G125</f>
        <v>3869.7</v>
      </c>
    </row>
    <row r="111" spans="1:8" ht="30.75">
      <c r="A111" s="458" t="s">
        <v>129</v>
      </c>
      <c r="B111" s="459" t="s">
        <v>408</v>
      </c>
      <c r="C111" s="459"/>
      <c r="D111" s="460"/>
      <c r="E111" s="461">
        <f>SUM(E112:E117)</f>
        <v>1107.8999999999999</v>
      </c>
      <c r="F111" s="461">
        <f>SUM(F112:F117)</f>
        <v>1008.6</v>
      </c>
      <c r="G111" s="461">
        <f>SUM(G112:G117)</f>
        <v>1008.6</v>
      </c>
      <c r="H111" s="202"/>
    </row>
    <row r="112" spans="1:8" ht="15">
      <c r="A112" s="455" t="s">
        <v>146</v>
      </c>
      <c r="B112" s="96" t="s">
        <v>408</v>
      </c>
      <c r="C112" s="162" t="s">
        <v>143</v>
      </c>
      <c r="D112" s="96" t="s">
        <v>26</v>
      </c>
      <c r="E112" s="462">
        <f>214.9+99.3</f>
        <v>314.2</v>
      </c>
      <c r="F112" s="462">
        <v>0</v>
      </c>
      <c r="G112" s="463">
        <v>0</v>
      </c>
      <c r="H112" s="202"/>
    </row>
    <row r="113" spans="1:8" ht="15">
      <c r="A113" s="445" t="s">
        <v>146</v>
      </c>
      <c r="B113" s="119" t="s">
        <v>408</v>
      </c>
      <c r="C113" s="453" t="s">
        <v>143</v>
      </c>
      <c r="D113" s="119" t="s">
        <v>27</v>
      </c>
      <c r="E113" s="464">
        <v>94.1</v>
      </c>
      <c r="F113" s="464">
        <v>0</v>
      </c>
      <c r="G113" s="465">
        <v>0</v>
      </c>
      <c r="H113" s="202"/>
    </row>
    <row r="114" spans="1:8" ht="15">
      <c r="A114" s="445" t="s">
        <v>155</v>
      </c>
      <c r="B114" s="119" t="s">
        <v>408</v>
      </c>
      <c r="C114" s="453" t="s">
        <v>154</v>
      </c>
      <c r="D114" s="119" t="s">
        <v>26</v>
      </c>
      <c r="E114" s="464">
        <f>311.2+120.1</f>
        <v>431.29999999999995</v>
      </c>
      <c r="F114" s="464">
        <v>0</v>
      </c>
      <c r="G114" s="465">
        <v>0</v>
      </c>
      <c r="H114" s="202"/>
    </row>
    <row r="115" spans="1:8" ht="15">
      <c r="A115" s="445" t="s">
        <v>155</v>
      </c>
      <c r="B115" s="119" t="s">
        <v>408</v>
      </c>
      <c r="C115" s="453" t="s">
        <v>154</v>
      </c>
      <c r="D115" s="119" t="s">
        <v>27</v>
      </c>
      <c r="E115" s="464">
        <v>128.4</v>
      </c>
      <c r="F115" s="464">
        <v>0</v>
      </c>
      <c r="G115" s="465">
        <v>0</v>
      </c>
      <c r="H115" s="202"/>
    </row>
    <row r="116" spans="1:8" ht="15">
      <c r="A116" s="427" t="s">
        <v>155</v>
      </c>
      <c r="B116" s="115" t="s">
        <v>408</v>
      </c>
      <c r="C116" s="470" t="s">
        <v>154</v>
      </c>
      <c r="D116" s="115" t="s">
        <v>126</v>
      </c>
      <c r="E116" s="456">
        <f>26.3+51.4</f>
        <v>77.7</v>
      </c>
      <c r="F116" s="456">
        <v>0</v>
      </c>
      <c r="G116" s="457">
        <v>0</v>
      </c>
      <c r="H116" s="202"/>
    </row>
    <row r="117" spans="1:8" ht="15">
      <c r="A117" s="194" t="s">
        <v>146</v>
      </c>
      <c r="B117" s="91" t="s">
        <v>408</v>
      </c>
      <c r="C117" s="99" t="s">
        <v>143</v>
      </c>
      <c r="D117" s="91" t="s">
        <v>29</v>
      </c>
      <c r="E117" s="321">
        <f>1008.6-775-171.4</f>
        <v>62.20000000000002</v>
      </c>
      <c r="F117" s="321">
        <v>1008.6</v>
      </c>
      <c r="G117" s="322">
        <v>1008.6</v>
      </c>
      <c r="H117" s="202"/>
    </row>
    <row r="118" spans="1:8" ht="15.75">
      <c r="A118" s="9" t="s">
        <v>106</v>
      </c>
      <c r="B118" s="10" t="s">
        <v>409</v>
      </c>
      <c r="C118" s="10"/>
      <c r="D118" s="11"/>
      <c r="E118" s="260">
        <f>SUM(E119:E124)</f>
        <v>1561</v>
      </c>
      <c r="F118" s="260">
        <f>SUM(F119:F124)</f>
        <v>1561.1</v>
      </c>
      <c r="G118" s="261">
        <f>SUM(G119:G124)</f>
        <v>1561.1</v>
      </c>
      <c r="H118" s="202"/>
    </row>
    <row r="119" spans="1:8" ht="15">
      <c r="A119" s="197" t="s">
        <v>146</v>
      </c>
      <c r="B119" s="26" t="s">
        <v>409</v>
      </c>
      <c r="C119" s="26" t="s">
        <v>143</v>
      </c>
      <c r="D119" s="26" t="s">
        <v>26</v>
      </c>
      <c r="E119" s="268">
        <v>305.7</v>
      </c>
      <c r="F119" s="268">
        <v>305.7</v>
      </c>
      <c r="G119" s="306">
        <v>305.7</v>
      </c>
      <c r="H119" s="202"/>
    </row>
    <row r="120" spans="1:8" ht="15">
      <c r="A120" s="34" t="s">
        <v>146</v>
      </c>
      <c r="B120" s="28" t="s">
        <v>409</v>
      </c>
      <c r="C120" s="28" t="s">
        <v>143</v>
      </c>
      <c r="D120" s="28" t="s">
        <v>27</v>
      </c>
      <c r="E120" s="269">
        <v>286.9</v>
      </c>
      <c r="F120" s="269">
        <v>286.9</v>
      </c>
      <c r="G120" s="275">
        <v>286.9</v>
      </c>
      <c r="H120" s="202"/>
    </row>
    <row r="121" spans="1:8" ht="15">
      <c r="A121" s="27" t="s">
        <v>155</v>
      </c>
      <c r="B121" s="28" t="s">
        <v>409</v>
      </c>
      <c r="C121" s="28" t="s">
        <v>154</v>
      </c>
      <c r="D121" s="28" t="s">
        <v>26</v>
      </c>
      <c r="E121" s="269">
        <v>368.5</v>
      </c>
      <c r="F121" s="269">
        <v>368.5</v>
      </c>
      <c r="G121" s="275">
        <v>368.5</v>
      </c>
      <c r="H121" s="202"/>
    </row>
    <row r="122" spans="1:8" ht="15">
      <c r="A122" s="27" t="s">
        <v>155</v>
      </c>
      <c r="B122" s="28" t="s">
        <v>409</v>
      </c>
      <c r="C122" s="28" t="s">
        <v>154</v>
      </c>
      <c r="D122" s="28" t="s">
        <v>27</v>
      </c>
      <c r="E122" s="269">
        <f>392.3-0.1</f>
        <v>392.2</v>
      </c>
      <c r="F122" s="269">
        <v>392.3</v>
      </c>
      <c r="G122" s="269">
        <v>392.3</v>
      </c>
      <c r="H122" s="202"/>
    </row>
    <row r="123" spans="1:8" ht="15">
      <c r="A123" s="27" t="s">
        <v>155</v>
      </c>
      <c r="B123" s="28" t="s">
        <v>409</v>
      </c>
      <c r="C123" s="28" t="s">
        <v>154</v>
      </c>
      <c r="D123" s="28" t="s">
        <v>126</v>
      </c>
      <c r="E123" s="269">
        <v>79</v>
      </c>
      <c r="F123" s="269">
        <v>79</v>
      </c>
      <c r="G123" s="275">
        <v>79</v>
      </c>
      <c r="H123" s="202"/>
    </row>
    <row r="124" spans="1:8" ht="15">
      <c r="A124" s="23" t="s">
        <v>155</v>
      </c>
      <c r="B124" s="24" t="s">
        <v>409</v>
      </c>
      <c r="C124" s="24" t="s">
        <v>154</v>
      </c>
      <c r="D124" s="24" t="s">
        <v>240</v>
      </c>
      <c r="E124" s="274">
        <v>128.7</v>
      </c>
      <c r="F124" s="274">
        <v>128.7</v>
      </c>
      <c r="G124" s="320">
        <v>128.7</v>
      </c>
      <c r="H124" s="202"/>
    </row>
    <row r="125" spans="1:8" ht="15.75">
      <c r="A125" s="9" t="s">
        <v>107</v>
      </c>
      <c r="B125" s="10" t="s">
        <v>410</v>
      </c>
      <c r="C125" s="10"/>
      <c r="D125" s="21"/>
      <c r="E125" s="266">
        <f>SUM(E126:E127)</f>
        <v>1653.9</v>
      </c>
      <c r="F125" s="266">
        <f>SUM(F126:F127)</f>
        <v>1300</v>
      </c>
      <c r="G125" s="266">
        <f>SUM(G126:G127)</f>
        <v>1300</v>
      </c>
      <c r="H125" s="202"/>
    </row>
    <row r="126" spans="1:8" ht="15">
      <c r="A126" s="27" t="s">
        <v>146</v>
      </c>
      <c r="B126" s="28" t="s">
        <v>410</v>
      </c>
      <c r="C126" s="35" t="s">
        <v>143</v>
      </c>
      <c r="D126" s="28" t="s">
        <v>29</v>
      </c>
      <c r="E126" s="307">
        <v>1300</v>
      </c>
      <c r="F126" s="307">
        <v>1300</v>
      </c>
      <c r="G126" s="308">
        <v>1300</v>
      </c>
      <c r="H126" s="202"/>
    </row>
    <row r="127" spans="1:8" ht="15">
      <c r="A127" s="485" t="s">
        <v>155</v>
      </c>
      <c r="B127" s="63" t="s">
        <v>410</v>
      </c>
      <c r="C127" s="43" t="s">
        <v>154</v>
      </c>
      <c r="D127" s="63" t="s">
        <v>27</v>
      </c>
      <c r="E127" s="456">
        <v>353.9</v>
      </c>
      <c r="F127" s="456">
        <v>0</v>
      </c>
      <c r="G127" s="457">
        <v>0</v>
      </c>
      <c r="H127" s="202"/>
    </row>
    <row r="128" spans="1:8" ht="30.75">
      <c r="A128" s="130" t="s">
        <v>411</v>
      </c>
      <c r="B128" s="135" t="s">
        <v>383</v>
      </c>
      <c r="C128" s="135"/>
      <c r="D128" s="136"/>
      <c r="E128" s="278">
        <f>E129+E131+E133</f>
        <v>805.7</v>
      </c>
      <c r="F128" s="278">
        <f>F129+F131+F133</f>
        <v>1028.8</v>
      </c>
      <c r="G128" s="285">
        <f>G129+G131+G133</f>
        <v>1028.8</v>
      </c>
      <c r="H128" s="202"/>
    </row>
    <row r="129" spans="1:8" ht="30.75">
      <c r="A129" s="9" t="s">
        <v>124</v>
      </c>
      <c r="B129" s="10" t="s">
        <v>412</v>
      </c>
      <c r="C129" s="10"/>
      <c r="D129" s="21"/>
      <c r="E129" s="266">
        <f>SUM(E130:E130)</f>
        <v>322.6</v>
      </c>
      <c r="F129" s="266">
        <f>SUM(F130:F130)</f>
        <v>322.6</v>
      </c>
      <c r="G129" s="305">
        <f>SUM(G130:G130)</f>
        <v>322.6</v>
      </c>
      <c r="H129" s="202"/>
    </row>
    <row r="130" spans="1:8" ht="15">
      <c r="A130" s="194" t="s">
        <v>146</v>
      </c>
      <c r="B130" s="91" t="s">
        <v>412</v>
      </c>
      <c r="C130" s="99" t="s">
        <v>143</v>
      </c>
      <c r="D130" s="91" t="s">
        <v>27</v>
      </c>
      <c r="E130" s="321">
        <v>322.6</v>
      </c>
      <c r="F130" s="321">
        <v>322.6</v>
      </c>
      <c r="G130" s="322">
        <v>322.6</v>
      </c>
      <c r="H130" s="202"/>
    </row>
    <row r="131" spans="1:8" ht="30.75">
      <c r="A131" s="9" t="s">
        <v>104</v>
      </c>
      <c r="B131" s="10" t="s">
        <v>413</v>
      </c>
      <c r="C131" s="10"/>
      <c r="D131" s="21"/>
      <c r="E131" s="266">
        <f>SUM(E132:E132)</f>
        <v>118.1</v>
      </c>
      <c r="F131" s="266">
        <f>SUM(F132:F132)</f>
        <v>341.2</v>
      </c>
      <c r="G131" s="305">
        <f>SUM(G132:G132)</f>
        <v>341.2</v>
      </c>
      <c r="H131" s="202"/>
    </row>
    <row r="132" spans="1:8" ht="15">
      <c r="A132" s="194" t="s">
        <v>146</v>
      </c>
      <c r="B132" s="91" t="s">
        <v>413</v>
      </c>
      <c r="C132" s="99" t="s">
        <v>143</v>
      </c>
      <c r="D132" s="91" t="s">
        <v>29</v>
      </c>
      <c r="E132" s="321">
        <v>118.1</v>
      </c>
      <c r="F132" s="321">
        <v>341.2</v>
      </c>
      <c r="G132" s="322">
        <v>341.2</v>
      </c>
      <c r="H132" s="202"/>
    </row>
    <row r="133" spans="1:8" ht="15.75">
      <c r="A133" s="9" t="s">
        <v>105</v>
      </c>
      <c r="B133" s="10" t="s">
        <v>414</v>
      </c>
      <c r="C133" s="10"/>
      <c r="D133" s="21"/>
      <c r="E133" s="266">
        <f>SUM(E134:E134)</f>
        <v>365</v>
      </c>
      <c r="F133" s="266">
        <f>SUM(F134:F134)</f>
        <v>365</v>
      </c>
      <c r="G133" s="305">
        <f>SUM(G134:G134)</f>
        <v>365</v>
      </c>
      <c r="H133" s="202"/>
    </row>
    <row r="134" spans="1:8" ht="15">
      <c r="A134" s="27" t="s">
        <v>146</v>
      </c>
      <c r="B134" s="28" t="s">
        <v>414</v>
      </c>
      <c r="C134" s="35" t="s">
        <v>143</v>
      </c>
      <c r="D134" s="35" t="s">
        <v>29</v>
      </c>
      <c r="E134" s="307">
        <v>365</v>
      </c>
      <c r="F134" s="307">
        <v>365</v>
      </c>
      <c r="G134" s="308">
        <v>365</v>
      </c>
      <c r="H134" s="202"/>
    </row>
    <row r="135" spans="1:7" ht="30.75">
      <c r="A135" s="130" t="s">
        <v>384</v>
      </c>
      <c r="B135" s="135" t="s">
        <v>385</v>
      </c>
      <c r="C135" s="135"/>
      <c r="D135" s="136"/>
      <c r="E135" s="278">
        <f>E136+E138+E146+E154+E161+E169</f>
        <v>67379.1</v>
      </c>
      <c r="F135" s="278">
        <f>F136+F138+F146+F154+F161+F169</f>
        <v>64874.200000000004</v>
      </c>
      <c r="G135" s="285">
        <f>G136+G138+G146+G154+G161+G169</f>
        <v>64874.200000000004</v>
      </c>
    </row>
    <row r="136" spans="1:8" ht="15.75">
      <c r="A136" s="9" t="s">
        <v>181</v>
      </c>
      <c r="B136" s="10" t="s">
        <v>386</v>
      </c>
      <c r="C136" s="10"/>
      <c r="D136" s="11"/>
      <c r="E136" s="260">
        <f>E137</f>
        <v>1080</v>
      </c>
      <c r="F136" s="260">
        <f>F137</f>
        <v>1080</v>
      </c>
      <c r="G136" s="261">
        <f>G137</f>
        <v>1080</v>
      </c>
      <c r="H136" s="202"/>
    </row>
    <row r="137" spans="1:8" ht="15">
      <c r="A137" s="27" t="s">
        <v>155</v>
      </c>
      <c r="B137" s="28" t="s">
        <v>386</v>
      </c>
      <c r="C137" s="28" t="s">
        <v>154</v>
      </c>
      <c r="D137" s="28" t="s">
        <v>240</v>
      </c>
      <c r="E137" s="253">
        <v>1080</v>
      </c>
      <c r="F137" s="253">
        <v>1080</v>
      </c>
      <c r="G137" s="314">
        <v>1080</v>
      </c>
      <c r="H137" s="202"/>
    </row>
    <row r="138" spans="1:8" ht="15.75">
      <c r="A138" s="9" t="s">
        <v>108</v>
      </c>
      <c r="B138" s="10" t="s">
        <v>387</v>
      </c>
      <c r="C138" s="10"/>
      <c r="D138" s="11"/>
      <c r="E138" s="260">
        <f>SUM(E139:E145)</f>
        <v>3837.1000000000004</v>
      </c>
      <c r="F138" s="260">
        <f>SUM(F139:F145)</f>
        <v>3837.1000000000004</v>
      </c>
      <c r="G138" s="261">
        <f>SUM(G139:G145)</f>
        <v>3837.1000000000004</v>
      </c>
      <c r="H138" s="202"/>
    </row>
    <row r="139" spans="1:8" ht="15">
      <c r="A139" s="25" t="s">
        <v>146</v>
      </c>
      <c r="B139" s="26" t="s">
        <v>387</v>
      </c>
      <c r="C139" s="26" t="s">
        <v>143</v>
      </c>
      <c r="D139" s="26" t="s">
        <v>26</v>
      </c>
      <c r="E139" s="268">
        <v>764.8</v>
      </c>
      <c r="F139" s="268">
        <v>764.8</v>
      </c>
      <c r="G139" s="306">
        <v>764.8</v>
      </c>
      <c r="H139" s="202"/>
    </row>
    <row r="140" spans="1:8" ht="15">
      <c r="A140" s="27" t="s">
        <v>146</v>
      </c>
      <c r="B140" s="28" t="s">
        <v>387</v>
      </c>
      <c r="C140" s="28" t="s">
        <v>143</v>
      </c>
      <c r="D140" s="28" t="s">
        <v>27</v>
      </c>
      <c r="E140" s="253">
        <v>577.6</v>
      </c>
      <c r="F140" s="253">
        <v>577.6</v>
      </c>
      <c r="G140" s="253">
        <v>577.6</v>
      </c>
      <c r="H140" s="202"/>
    </row>
    <row r="141" spans="1:8" ht="15">
      <c r="A141" s="27" t="s">
        <v>146</v>
      </c>
      <c r="B141" s="28" t="s">
        <v>387</v>
      </c>
      <c r="C141" s="28" t="s">
        <v>143</v>
      </c>
      <c r="D141" s="28" t="s">
        <v>126</v>
      </c>
      <c r="E141" s="253">
        <v>14.5</v>
      </c>
      <c r="F141" s="253">
        <v>14.5</v>
      </c>
      <c r="G141" s="314">
        <v>14.5</v>
      </c>
      <c r="H141" s="202"/>
    </row>
    <row r="142" spans="1:8" ht="15">
      <c r="A142" s="27" t="s">
        <v>155</v>
      </c>
      <c r="B142" s="28" t="s">
        <v>387</v>
      </c>
      <c r="C142" s="28" t="s">
        <v>154</v>
      </c>
      <c r="D142" s="28" t="s">
        <v>26</v>
      </c>
      <c r="E142" s="269">
        <v>1030.9</v>
      </c>
      <c r="F142" s="269">
        <v>1030.9</v>
      </c>
      <c r="G142" s="275">
        <v>1030.9</v>
      </c>
      <c r="H142" s="202"/>
    </row>
    <row r="143" spans="1:8" ht="15">
      <c r="A143" s="27" t="s">
        <v>155</v>
      </c>
      <c r="B143" s="28" t="s">
        <v>387</v>
      </c>
      <c r="C143" s="28" t="s">
        <v>154</v>
      </c>
      <c r="D143" s="28" t="s">
        <v>27</v>
      </c>
      <c r="E143" s="253">
        <v>1025.6</v>
      </c>
      <c r="F143" s="253">
        <v>1025.6</v>
      </c>
      <c r="G143" s="314">
        <v>1025.6</v>
      </c>
      <c r="H143" s="202"/>
    </row>
    <row r="144" spans="1:8" ht="15">
      <c r="A144" s="27" t="s">
        <v>155</v>
      </c>
      <c r="B144" s="28" t="s">
        <v>387</v>
      </c>
      <c r="C144" s="28" t="s">
        <v>154</v>
      </c>
      <c r="D144" s="28" t="s">
        <v>126</v>
      </c>
      <c r="E144" s="253">
        <v>158.4</v>
      </c>
      <c r="F144" s="253">
        <v>158.4</v>
      </c>
      <c r="G144" s="314">
        <v>158.4</v>
      </c>
      <c r="H144" s="202"/>
    </row>
    <row r="145" spans="1:8" ht="15">
      <c r="A145" s="14" t="s">
        <v>155</v>
      </c>
      <c r="B145" s="24" t="s">
        <v>387</v>
      </c>
      <c r="C145" s="24" t="s">
        <v>154</v>
      </c>
      <c r="D145" s="24" t="s">
        <v>240</v>
      </c>
      <c r="E145" s="253">
        <v>265.3</v>
      </c>
      <c r="F145" s="253">
        <v>265.3</v>
      </c>
      <c r="G145" s="314">
        <v>265.3</v>
      </c>
      <c r="H145" s="202"/>
    </row>
    <row r="146" spans="1:8" ht="30.75">
      <c r="A146" s="9" t="s">
        <v>109</v>
      </c>
      <c r="B146" s="10" t="s">
        <v>388</v>
      </c>
      <c r="C146" s="10"/>
      <c r="D146" s="11"/>
      <c r="E146" s="323">
        <f>SUM(E147:E153)</f>
        <v>5378.4</v>
      </c>
      <c r="F146" s="323">
        <f>SUM(F147:F153)</f>
        <v>5378.4</v>
      </c>
      <c r="G146" s="324">
        <f>SUM(G147:G153)</f>
        <v>5378.4</v>
      </c>
      <c r="H146" s="202"/>
    </row>
    <row r="147" spans="1:8" ht="15">
      <c r="A147" s="12" t="s">
        <v>146</v>
      </c>
      <c r="B147" s="13" t="s">
        <v>388</v>
      </c>
      <c r="C147" s="13" t="s">
        <v>143</v>
      </c>
      <c r="D147" s="13" t="s">
        <v>26</v>
      </c>
      <c r="E147" s="325">
        <v>1195.2</v>
      </c>
      <c r="F147" s="325">
        <v>1195.2</v>
      </c>
      <c r="G147" s="325">
        <v>1195.2</v>
      </c>
      <c r="H147" s="202"/>
    </row>
    <row r="148" spans="1:8" ht="15">
      <c r="A148" s="14" t="s">
        <v>146</v>
      </c>
      <c r="B148" s="15" t="s">
        <v>388</v>
      </c>
      <c r="C148" s="15" t="s">
        <v>143</v>
      </c>
      <c r="D148" s="15" t="s">
        <v>27</v>
      </c>
      <c r="E148" s="326">
        <v>896.4</v>
      </c>
      <c r="F148" s="326">
        <v>896.4</v>
      </c>
      <c r="G148" s="326">
        <v>896.4</v>
      </c>
      <c r="H148" s="202"/>
    </row>
    <row r="149" spans="1:8" ht="15">
      <c r="A149" s="14" t="s">
        <v>146</v>
      </c>
      <c r="B149" s="15" t="s">
        <v>388</v>
      </c>
      <c r="C149" s="15" t="s">
        <v>143</v>
      </c>
      <c r="D149" s="15" t="s">
        <v>126</v>
      </c>
      <c r="E149" s="326">
        <v>99.6</v>
      </c>
      <c r="F149" s="326">
        <v>99.6</v>
      </c>
      <c r="G149" s="327">
        <v>99.6</v>
      </c>
      <c r="H149" s="202"/>
    </row>
    <row r="150" spans="1:8" ht="15">
      <c r="A150" s="14" t="s">
        <v>155</v>
      </c>
      <c r="B150" s="15" t="s">
        <v>388</v>
      </c>
      <c r="C150" s="15" t="s">
        <v>154</v>
      </c>
      <c r="D150" s="15" t="s">
        <v>26</v>
      </c>
      <c r="E150" s="326">
        <v>1494</v>
      </c>
      <c r="F150" s="326">
        <v>1494</v>
      </c>
      <c r="G150" s="327">
        <v>1494</v>
      </c>
      <c r="H150" s="202"/>
    </row>
    <row r="151" spans="1:8" ht="15">
      <c r="A151" s="14" t="s">
        <v>155</v>
      </c>
      <c r="B151" s="15" t="s">
        <v>388</v>
      </c>
      <c r="C151" s="15" t="s">
        <v>154</v>
      </c>
      <c r="D151" s="15" t="s">
        <v>27</v>
      </c>
      <c r="E151" s="253">
        <v>1095.6</v>
      </c>
      <c r="F151" s="253">
        <v>1095.6</v>
      </c>
      <c r="G151" s="253">
        <v>1095.6</v>
      </c>
      <c r="H151" s="202"/>
    </row>
    <row r="152" spans="1:8" ht="15">
      <c r="A152" s="14" t="s">
        <v>155</v>
      </c>
      <c r="B152" s="15" t="s">
        <v>388</v>
      </c>
      <c r="C152" s="15" t="s">
        <v>154</v>
      </c>
      <c r="D152" s="15" t="s">
        <v>126</v>
      </c>
      <c r="E152" s="253">
        <v>298.8</v>
      </c>
      <c r="F152" s="253">
        <v>298.8</v>
      </c>
      <c r="G152" s="314">
        <v>298.8</v>
      </c>
      <c r="H152" s="202"/>
    </row>
    <row r="153" spans="1:8" ht="15">
      <c r="A153" s="14" t="s">
        <v>155</v>
      </c>
      <c r="B153" s="15" t="s">
        <v>388</v>
      </c>
      <c r="C153" s="15" t="s">
        <v>154</v>
      </c>
      <c r="D153" s="15" t="s">
        <v>240</v>
      </c>
      <c r="E153" s="326">
        <v>298.8</v>
      </c>
      <c r="F153" s="326">
        <v>298.8</v>
      </c>
      <c r="G153" s="327">
        <v>298.8</v>
      </c>
      <c r="H153" s="202"/>
    </row>
    <row r="154" spans="1:8" ht="30.75">
      <c r="A154" s="9" t="s">
        <v>110</v>
      </c>
      <c r="B154" s="10" t="s">
        <v>389</v>
      </c>
      <c r="C154" s="10"/>
      <c r="D154" s="11"/>
      <c r="E154" s="260">
        <f>SUM(E155:E160)</f>
        <v>7474.9</v>
      </c>
      <c r="F154" s="260">
        <f>SUM(F157:F157)</f>
        <v>3293.4</v>
      </c>
      <c r="G154" s="261">
        <f>SUM(G157:G157)</f>
        <v>3293.4</v>
      </c>
      <c r="H154" s="202"/>
    </row>
    <row r="155" spans="1:8" ht="15">
      <c r="A155" s="30" t="s">
        <v>146</v>
      </c>
      <c r="B155" s="31" t="s">
        <v>389</v>
      </c>
      <c r="C155" s="31" t="s">
        <v>143</v>
      </c>
      <c r="D155" s="31" t="s">
        <v>26</v>
      </c>
      <c r="E155" s="271">
        <f>216.3+45.4</f>
        <v>261.7</v>
      </c>
      <c r="F155" s="271">
        <v>0</v>
      </c>
      <c r="G155" s="272">
        <v>0</v>
      </c>
      <c r="H155" s="202"/>
    </row>
    <row r="156" spans="1:8" ht="15">
      <c r="A156" s="34" t="s">
        <v>146</v>
      </c>
      <c r="B156" s="35" t="s">
        <v>389</v>
      </c>
      <c r="C156" s="35" t="s">
        <v>143</v>
      </c>
      <c r="D156" s="35" t="s">
        <v>27</v>
      </c>
      <c r="E156" s="269">
        <f>1896.8+116.1</f>
        <v>2012.8999999999999</v>
      </c>
      <c r="F156" s="269">
        <v>0</v>
      </c>
      <c r="G156" s="275">
        <v>0</v>
      </c>
      <c r="H156" s="202"/>
    </row>
    <row r="157" spans="1:8" ht="15">
      <c r="A157" s="34" t="s">
        <v>146</v>
      </c>
      <c r="B157" s="35" t="s">
        <v>389</v>
      </c>
      <c r="C157" s="35" t="s">
        <v>143</v>
      </c>
      <c r="D157" s="35" t="s">
        <v>29</v>
      </c>
      <c r="E157" s="269">
        <f>3293.4+900-1194.2</f>
        <v>2999.2</v>
      </c>
      <c r="F157" s="269">
        <v>3293.4</v>
      </c>
      <c r="G157" s="275">
        <v>3293.4</v>
      </c>
      <c r="H157" s="202"/>
    </row>
    <row r="158" spans="1:8" ht="15">
      <c r="A158" s="27" t="s">
        <v>155</v>
      </c>
      <c r="B158" s="35" t="s">
        <v>389</v>
      </c>
      <c r="C158" s="35" t="s">
        <v>154</v>
      </c>
      <c r="D158" s="35" t="s">
        <v>26</v>
      </c>
      <c r="E158" s="269">
        <f>463.9+296.8</f>
        <v>760.7</v>
      </c>
      <c r="F158" s="269">
        <v>0</v>
      </c>
      <c r="G158" s="275">
        <v>0</v>
      </c>
      <c r="H158" s="202"/>
    </row>
    <row r="159" spans="1:8" ht="15">
      <c r="A159" s="27" t="s">
        <v>155</v>
      </c>
      <c r="B159" s="35" t="s">
        <v>389</v>
      </c>
      <c r="C159" s="35" t="s">
        <v>154</v>
      </c>
      <c r="D159" s="35" t="s">
        <v>27</v>
      </c>
      <c r="E159" s="269">
        <f>690.1+208.8</f>
        <v>898.9000000000001</v>
      </c>
      <c r="F159" s="269">
        <v>0</v>
      </c>
      <c r="G159" s="275">
        <v>0</v>
      </c>
      <c r="H159" s="202"/>
    </row>
    <row r="160" spans="1:8" ht="15">
      <c r="A160" s="32" t="s">
        <v>146</v>
      </c>
      <c r="B160" s="33" t="s">
        <v>389</v>
      </c>
      <c r="C160" s="33" t="s">
        <v>154</v>
      </c>
      <c r="D160" s="33" t="s">
        <v>126</v>
      </c>
      <c r="E160" s="274">
        <f>14.4+527.1</f>
        <v>541.5</v>
      </c>
      <c r="F160" s="274">
        <v>0</v>
      </c>
      <c r="G160" s="320">
        <v>0</v>
      </c>
      <c r="H160" s="202"/>
    </row>
    <row r="161" spans="1:8" ht="30.75">
      <c r="A161" s="19" t="s">
        <v>491</v>
      </c>
      <c r="B161" s="20" t="s">
        <v>390</v>
      </c>
      <c r="C161" s="20"/>
      <c r="D161" s="21"/>
      <c r="E161" s="260">
        <f>SUM(E162:E168)</f>
        <v>49508.7</v>
      </c>
      <c r="F161" s="260">
        <f>SUM(F162:F168)</f>
        <v>51185.3</v>
      </c>
      <c r="G161" s="261">
        <f>SUM(G162:G168)</f>
        <v>51185.3</v>
      </c>
      <c r="H161" s="202"/>
    </row>
    <row r="162" spans="1:8" ht="15">
      <c r="A162" s="30" t="s">
        <v>146</v>
      </c>
      <c r="B162" s="31" t="s">
        <v>390</v>
      </c>
      <c r="C162" s="31" t="s">
        <v>143</v>
      </c>
      <c r="D162" s="31" t="s">
        <v>26</v>
      </c>
      <c r="E162" s="271">
        <v>11569.4</v>
      </c>
      <c r="F162" s="271">
        <v>11979.7</v>
      </c>
      <c r="G162" s="272">
        <v>11979.7</v>
      </c>
      <c r="H162" s="202"/>
    </row>
    <row r="163" spans="1:8" ht="15">
      <c r="A163" s="34" t="s">
        <v>146</v>
      </c>
      <c r="B163" s="35" t="s">
        <v>390</v>
      </c>
      <c r="C163" s="35" t="s">
        <v>143</v>
      </c>
      <c r="D163" s="35" t="s">
        <v>27</v>
      </c>
      <c r="E163" s="269">
        <v>8711.1</v>
      </c>
      <c r="F163" s="269">
        <v>9020.1</v>
      </c>
      <c r="G163" s="275">
        <v>9020.1</v>
      </c>
      <c r="H163" s="202"/>
    </row>
    <row r="164" spans="1:8" ht="15">
      <c r="A164" s="34" t="s">
        <v>146</v>
      </c>
      <c r="B164" s="35" t="s">
        <v>390</v>
      </c>
      <c r="C164" s="35" t="s">
        <v>143</v>
      </c>
      <c r="D164" s="35" t="s">
        <v>126</v>
      </c>
      <c r="E164" s="269">
        <v>109.2</v>
      </c>
      <c r="F164" s="269">
        <v>109.2</v>
      </c>
      <c r="G164" s="275">
        <v>109.2</v>
      </c>
      <c r="H164" s="202"/>
    </row>
    <row r="165" spans="1:8" ht="15">
      <c r="A165" s="193" t="s">
        <v>155</v>
      </c>
      <c r="B165" s="35" t="s">
        <v>390</v>
      </c>
      <c r="C165" s="35" t="s">
        <v>154</v>
      </c>
      <c r="D165" s="35" t="s">
        <v>26</v>
      </c>
      <c r="E165" s="269">
        <v>14821.9</v>
      </c>
      <c r="F165" s="269">
        <v>15349.1</v>
      </c>
      <c r="G165" s="275">
        <v>15349.1</v>
      </c>
      <c r="H165" s="202"/>
    </row>
    <row r="166" spans="1:8" ht="15">
      <c r="A166" s="34" t="s">
        <v>155</v>
      </c>
      <c r="B166" s="35" t="s">
        <v>390</v>
      </c>
      <c r="C166" s="35" t="s">
        <v>154</v>
      </c>
      <c r="D166" s="35" t="s">
        <v>27</v>
      </c>
      <c r="E166" s="269">
        <v>10745.3</v>
      </c>
      <c r="F166" s="269">
        <v>11131.1</v>
      </c>
      <c r="G166" s="275">
        <v>11131.1</v>
      </c>
      <c r="H166" s="202"/>
    </row>
    <row r="167" spans="1:8" ht="15">
      <c r="A167" s="34" t="s">
        <v>155</v>
      </c>
      <c r="B167" s="35" t="s">
        <v>390</v>
      </c>
      <c r="C167" s="35" t="s">
        <v>154</v>
      </c>
      <c r="D167" s="35" t="s">
        <v>126</v>
      </c>
      <c r="E167" s="269">
        <v>444</v>
      </c>
      <c r="F167" s="269">
        <v>444</v>
      </c>
      <c r="G167" s="275">
        <v>444</v>
      </c>
      <c r="H167" s="202"/>
    </row>
    <row r="168" spans="1:8" ht="15">
      <c r="A168" s="32" t="s">
        <v>155</v>
      </c>
      <c r="B168" s="33" t="s">
        <v>390</v>
      </c>
      <c r="C168" s="33" t="s">
        <v>154</v>
      </c>
      <c r="D168" s="33" t="s">
        <v>240</v>
      </c>
      <c r="E168" s="274">
        <v>3107.8</v>
      </c>
      <c r="F168" s="274">
        <v>3152.1</v>
      </c>
      <c r="G168" s="320">
        <v>3152.1</v>
      </c>
      <c r="H168" s="202"/>
    </row>
    <row r="169" spans="1:8" ht="15.75">
      <c r="A169" s="189" t="s">
        <v>111</v>
      </c>
      <c r="B169" s="159" t="s">
        <v>457</v>
      </c>
      <c r="C169" s="159"/>
      <c r="D169" s="182"/>
      <c r="E169" s="328">
        <f>SUM(E170:E170)</f>
        <v>100</v>
      </c>
      <c r="F169" s="328">
        <f>SUM(F170:F170)</f>
        <v>100</v>
      </c>
      <c r="G169" s="329">
        <f>SUM(G170:G170)</f>
        <v>100</v>
      </c>
      <c r="H169" s="202"/>
    </row>
    <row r="170" spans="1:8" ht="15">
      <c r="A170" s="165" t="s">
        <v>146</v>
      </c>
      <c r="B170" s="166" t="s">
        <v>457</v>
      </c>
      <c r="C170" s="191" t="s">
        <v>143</v>
      </c>
      <c r="D170" s="191" t="s">
        <v>29</v>
      </c>
      <c r="E170" s="295">
        <v>100</v>
      </c>
      <c r="F170" s="295">
        <v>100</v>
      </c>
      <c r="G170" s="296">
        <v>100</v>
      </c>
      <c r="H170" s="202"/>
    </row>
    <row r="171" spans="1:7" ht="30.75">
      <c r="A171" s="130" t="s">
        <v>391</v>
      </c>
      <c r="B171" s="135" t="s">
        <v>392</v>
      </c>
      <c r="C171" s="135"/>
      <c r="D171" s="136"/>
      <c r="E171" s="278">
        <f>E172+E178+E182+E174+E176+E180</f>
        <v>68561.9</v>
      </c>
      <c r="F171" s="278">
        <f>F172+F178+F182+F174+F176+F180</f>
        <v>32509.6</v>
      </c>
      <c r="G171" s="278">
        <f>G172+G178+G182+G174+G176+G180</f>
        <v>33554.3</v>
      </c>
    </row>
    <row r="172" spans="1:7" ht="15.75">
      <c r="A172" s="9" t="s">
        <v>209</v>
      </c>
      <c r="B172" s="10" t="s">
        <v>393</v>
      </c>
      <c r="C172" s="10"/>
      <c r="D172" s="11"/>
      <c r="E172" s="260">
        <f>E173</f>
        <v>9349.5</v>
      </c>
      <c r="F172" s="260">
        <f>F173</f>
        <v>8412</v>
      </c>
      <c r="G172" s="261">
        <f>G173</f>
        <v>8412</v>
      </c>
    </row>
    <row r="173" spans="1:7" ht="15">
      <c r="A173" s="34" t="s">
        <v>146</v>
      </c>
      <c r="B173" s="35" t="s">
        <v>393</v>
      </c>
      <c r="C173" s="35" t="s">
        <v>143</v>
      </c>
      <c r="D173" s="35" t="s">
        <v>26</v>
      </c>
      <c r="E173" s="269">
        <v>9349.5</v>
      </c>
      <c r="F173" s="269">
        <v>8412</v>
      </c>
      <c r="G173" s="269">
        <v>8412</v>
      </c>
    </row>
    <row r="174" spans="1:8" ht="15.75">
      <c r="A174" s="245" t="s">
        <v>496</v>
      </c>
      <c r="B174" s="246" t="s">
        <v>494</v>
      </c>
      <c r="C174" s="246"/>
      <c r="D174" s="71"/>
      <c r="E174" s="328">
        <f>E175</f>
        <v>15775.1</v>
      </c>
      <c r="F174" s="328">
        <f>F175</f>
        <v>13963.5</v>
      </c>
      <c r="G174" s="328">
        <f>G175</f>
        <v>15008.2</v>
      </c>
      <c r="H174" s="202"/>
    </row>
    <row r="175" spans="1:8" ht="15">
      <c r="A175" s="23" t="s">
        <v>146</v>
      </c>
      <c r="B175" s="24" t="s">
        <v>494</v>
      </c>
      <c r="C175" s="33" t="s">
        <v>143</v>
      </c>
      <c r="D175" s="33" t="s">
        <v>27</v>
      </c>
      <c r="E175" s="274">
        <f>15484.4+290.7</f>
        <v>15775.1</v>
      </c>
      <c r="F175" s="274">
        <v>13963.5</v>
      </c>
      <c r="G175" s="320">
        <v>15008.2</v>
      </c>
      <c r="H175" s="399"/>
    </row>
    <row r="176" spans="1:8" ht="15.75">
      <c r="A176" s="9" t="s">
        <v>497</v>
      </c>
      <c r="B176" s="10" t="s">
        <v>495</v>
      </c>
      <c r="C176" s="10"/>
      <c r="D176" s="11"/>
      <c r="E176" s="260">
        <f>E177</f>
        <v>5674.299999999999</v>
      </c>
      <c r="F176" s="260">
        <f>F177</f>
        <v>8034.1</v>
      </c>
      <c r="G176" s="261">
        <f>G177</f>
        <v>8034.1</v>
      </c>
      <c r="H176" s="202"/>
    </row>
    <row r="177" spans="1:8" ht="15">
      <c r="A177" s="34" t="s">
        <v>146</v>
      </c>
      <c r="B177" s="35" t="s">
        <v>495</v>
      </c>
      <c r="C177" s="35" t="s">
        <v>143</v>
      </c>
      <c r="D177" s="35" t="s">
        <v>126</v>
      </c>
      <c r="E177" s="269">
        <f>8080.9-2406.6</f>
        <v>5674.299999999999</v>
      </c>
      <c r="F177" s="269">
        <v>8034.1</v>
      </c>
      <c r="G177" s="269">
        <v>8034.1</v>
      </c>
      <c r="H177" s="202"/>
    </row>
    <row r="178" spans="1:8" ht="30.75">
      <c r="A178" s="227" t="s">
        <v>171</v>
      </c>
      <c r="B178" s="20" t="s">
        <v>394</v>
      </c>
      <c r="C178" s="20"/>
      <c r="D178" s="21"/>
      <c r="E178" s="260">
        <f>SUM(E179:E179)</f>
        <v>2100</v>
      </c>
      <c r="F178" s="260">
        <f>SUM(F179:F179)</f>
        <v>2100</v>
      </c>
      <c r="G178" s="261">
        <f>SUM(G179:G179)</f>
        <v>2100</v>
      </c>
      <c r="H178" s="202"/>
    </row>
    <row r="179" spans="1:8" ht="15">
      <c r="A179" s="230" t="s">
        <v>146</v>
      </c>
      <c r="B179" s="216" t="s">
        <v>394</v>
      </c>
      <c r="C179" s="216" t="s">
        <v>143</v>
      </c>
      <c r="D179" s="216" t="s">
        <v>29</v>
      </c>
      <c r="E179" s="330">
        <v>2100</v>
      </c>
      <c r="F179" s="330">
        <v>2100</v>
      </c>
      <c r="G179" s="331">
        <v>2100</v>
      </c>
      <c r="H179" s="202"/>
    </row>
    <row r="180" spans="1:8" ht="30.75">
      <c r="A180" s="225" t="s">
        <v>185</v>
      </c>
      <c r="B180" s="214" t="s">
        <v>532</v>
      </c>
      <c r="C180" s="215"/>
      <c r="D180" s="215"/>
      <c r="E180" s="297">
        <f>E181</f>
        <v>33926.2</v>
      </c>
      <c r="F180" s="297">
        <f>F181</f>
        <v>0</v>
      </c>
      <c r="G180" s="298">
        <f>G181</f>
        <v>0</v>
      </c>
      <c r="H180" s="202"/>
    </row>
    <row r="181" spans="1:8" ht="15">
      <c r="A181" s="226" t="s">
        <v>146</v>
      </c>
      <c r="B181" s="95" t="s">
        <v>532</v>
      </c>
      <c r="C181" s="95" t="s">
        <v>143</v>
      </c>
      <c r="D181" s="95" t="s">
        <v>27</v>
      </c>
      <c r="E181" s="299">
        <f>19218+14708.2</f>
        <v>33926.2</v>
      </c>
      <c r="F181" s="299">
        <v>0</v>
      </c>
      <c r="G181" s="300">
        <v>0</v>
      </c>
      <c r="H181" s="202"/>
    </row>
    <row r="182" spans="1:8" ht="15.75">
      <c r="A182" s="19" t="s">
        <v>180</v>
      </c>
      <c r="B182" s="10" t="s">
        <v>395</v>
      </c>
      <c r="C182" s="10"/>
      <c r="D182" s="11"/>
      <c r="E182" s="260">
        <f>SUM(E183:E184)</f>
        <v>1736.8</v>
      </c>
      <c r="F182" s="260">
        <f>SUM(F183:F184)</f>
        <v>0</v>
      </c>
      <c r="G182" s="261">
        <f>SUM(G183:G184)</f>
        <v>0</v>
      </c>
      <c r="H182" s="202"/>
    </row>
    <row r="183" spans="1:8" ht="15">
      <c r="A183" s="170" t="s">
        <v>146</v>
      </c>
      <c r="B183" s="29" t="s">
        <v>395</v>
      </c>
      <c r="C183" s="31" t="s">
        <v>143</v>
      </c>
      <c r="D183" s="31" t="s">
        <v>27</v>
      </c>
      <c r="E183" s="271">
        <f>71+1350</f>
        <v>1421</v>
      </c>
      <c r="F183" s="271">
        <v>0</v>
      </c>
      <c r="G183" s="272">
        <v>0</v>
      </c>
      <c r="H183" s="202"/>
    </row>
    <row r="184" spans="1:8" ht="15">
      <c r="A184" s="27" t="s">
        <v>155</v>
      </c>
      <c r="B184" s="28" t="s">
        <v>395</v>
      </c>
      <c r="C184" s="35" t="s">
        <v>154</v>
      </c>
      <c r="D184" s="35" t="s">
        <v>27</v>
      </c>
      <c r="E184" s="269">
        <f>15.8+300</f>
        <v>315.8</v>
      </c>
      <c r="F184" s="269">
        <v>0</v>
      </c>
      <c r="G184" s="275">
        <v>0</v>
      </c>
      <c r="H184" s="202"/>
    </row>
    <row r="185" spans="1:8" ht="30.75">
      <c r="A185" s="140" t="s">
        <v>230</v>
      </c>
      <c r="B185" s="141" t="s">
        <v>440</v>
      </c>
      <c r="C185" s="141"/>
      <c r="D185" s="142"/>
      <c r="E185" s="278">
        <f>E186+E189</f>
        <v>11863.3</v>
      </c>
      <c r="F185" s="278">
        <f>F186+F189</f>
        <v>11863.3</v>
      </c>
      <c r="G185" s="285">
        <f>G186+G189</f>
        <v>11863.3</v>
      </c>
      <c r="H185" s="202"/>
    </row>
    <row r="186" spans="1:8" ht="15.75">
      <c r="A186" s="19" t="s">
        <v>175</v>
      </c>
      <c r="B186" s="10" t="s">
        <v>441</v>
      </c>
      <c r="C186" s="10"/>
      <c r="D186" s="11"/>
      <c r="E186" s="260">
        <f>E187+E188</f>
        <v>8593</v>
      </c>
      <c r="F186" s="260">
        <f>F187+F188</f>
        <v>8593</v>
      </c>
      <c r="G186" s="261">
        <f>G187+G188</f>
        <v>8593</v>
      </c>
      <c r="H186" s="202"/>
    </row>
    <row r="187" spans="1:8" ht="15">
      <c r="A187" s="170" t="s">
        <v>146</v>
      </c>
      <c r="B187" s="29" t="s">
        <v>441</v>
      </c>
      <c r="C187" s="31" t="s">
        <v>143</v>
      </c>
      <c r="D187" s="29" t="s">
        <v>29</v>
      </c>
      <c r="E187" s="271">
        <v>4322.6</v>
      </c>
      <c r="F187" s="271">
        <v>4322.6</v>
      </c>
      <c r="G187" s="271">
        <v>4322.6</v>
      </c>
      <c r="H187" s="202"/>
    </row>
    <row r="188" spans="1:8" ht="15">
      <c r="A188" s="23" t="s">
        <v>155</v>
      </c>
      <c r="B188" s="24" t="s">
        <v>441</v>
      </c>
      <c r="C188" s="33" t="s">
        <v>154</v>
      </c>
      <c r="D188" s="24" t="s">
        <v>29</v>
      </c>
      <c r="E188" s="274">
        <v>4270.4</v>
      </c>
      <c r="F188" s="274">
        <v>4270.4</v>
      </c>
      <c r="G188" s="274">
        <v>4270.4</v>
      </c>
      <c r="H188" s="202"/>
    </row>
    <row r="189" spans="1:8" ht="30.75">
      <c r="A189" s="19" t="s">
        <v>442</v>
      </c>
      <c r="B189" s="20" t="s">
        <v>443</v>
      </c>
      <c r="C189" s="20"/>
      <c r="D189" s="21"/>
      <c r="E189" s="260">
        <f>E190</f>
        <v>3270.3</v>
      </c>
      <c r="F189" s="260">
        <f>F190</f>
        <v>3270.3</v>
      </c>
      <c r="G189" s="260">
        <f>G190</f>
        <v>3270.3</v>
      </c>
      <c r="H189" s="202"/>
    </row>
    <row r="190" spans="1:8" ht="15">
      <c r="A190" s="27" t="s">
        <v>146</v>
      </c>
      <c r="B190" s="28" t="s">
        <v>443</v>
      </c>
      <c r="C190" s="28" t="s">
        <v>143</v>
      </c>
      <c r="D190" s="28" t="s">
        <v>29</v>
      </c>
      <c r="E190" s="253">
        <f>327+2943.3</f>
        <v>3270.3</v>
      </c>
      <c r="F190" s="253">
        <f>359.8+2910.5</f>
        <v>3270.3</v>
      </c>
      <c r="G190" s="314">
        <f>392.5+2877.8</f>
        <v>3270.3</v>
      </c>
      <c r="H190" s="202"/>
    </row>
    <row r="191" spans="1:8" ht="27" customHeight="1">
      <c r="A191" s="130" t="s">
        <v>444</v>
      </c>
      <c r="B191" s="135" t="s">
        <v>445</v>
      </c>
      <c r="C191" s="135"/>
      <c r="D191" s="136"/>
      <c r="E191" s="278">
        <f>E192+E197+E199+E201+E203+E195</f>
        <v>4552.4</v>
      </c>
      <c r="F191" s="278">
        <f>F192+F197+F199+F201+F203+F195</f>
        <v>4552.4</v>
      </c>
      <c r="G191" s="278">
        <f>G192+G197+G199+G201+G203+G195</f>
        <v>4552.4</v>
      </c>
      <c r="H191" s="202"/>
    </row>
    <row r="192" spans="1:8" ht="30.75">
      <c r="A192" s="217" t="s">
        <v>99</v>
      </c>
      <c r="B192" s="218" t="s">
        <v>446</v>
      </c>
      <c r="C192" s="218"/>
      <c r="D192" s="219"/>
      <c r="E192" s="334">
        <f>E193+E194</f>
        <v>578.8</v>
      </c>
      <c r="F192" s="334">
        <f>F193+F194</f>
        <v>578.8</v>
      </c>
      <c r="G192" s="334">
        <f>G193+G194</f>
        <v>578.8</v>
      </c>
      <c r="H192" s="202"/>
    </row>
    <row r="193" spans="1:8" ht="15">
      <c r="A193" s="170" t="s">
        <v>146</v>
      </c>
      <c r="B193" s="29" t="s">
        <v>446</v>
      </c>
      <c r="C193" s="31" t="s">
        <v>143</v>
      </c>
      <c r="D193" s="29" t="s">
        <v>29</v>
      </c>
      <c r="E193" s="271">
        <f>578.8-42</f>
        <v>536.8</v>
      </c>
      <c r="F193" s="271">
        <v>578.8</v>
      </c>
      <c r="G193" s="272">
        <v>578.8</v>
      </c>
      <c r="H193" s="202"/>
    </row>
    <row r="194" spans="1:8" ht="15">
      <c r="A194" s="165" t="s">
        <v>155</v>
      </c>
      <c r="B194" s="166" t="s">
        <v>446</v>
      </c>
      <c r="C194" s="191" t="s">
        <v>154</v>
      </c>
      <c r="D194" s="166" t="s">
        <v>29</v>
      </c>
      <c r="E194" s="295">
        <v>42</v>
      </c>
      <c r="F194" s="295">
        <v>0</v>
      </c>
      <c r="G194" s="296">
        <v>0</v>
      </c>
      <c r="H194" s="202"/>
    </row>
    <row r="195" spans="1:8" ht="15.75">
      <c r="A195" s="128" t="s">
        <v>103</v>
      </c>
      <c r="B195" s="129" t="s">
        <v>451</v>
      </c>
      <c r="C195" s="129"/>
      <c r="D195" s="192"/>
      <c r="E195" s="332">
        <f>SUM(E196:E196)</f>
        <v>121.2</v>
      </c>
      <c r="F195" s="332">
        <f>SUM(F196:F196)</f>
        <v>121.2</v>
      </c>
      <c r="G195" s="333">
        <f>SUM(G196:G196)</f>
        <v>121.2</v>
      </c>
      <c r="H195" s="202"/>
    </row>
    <row r="196" spans="1:8" ht="15">
      <c r="A196" s="23" t="s">
        <v>158</v>
      </c>
      <c r="B196" s="24" t="s">
        <v>451</v>
      </c>
      <c r="C196" s="33" t="s">
        <v>156</v>
      </c>
      <c r="D196" s="24" t="s">
        <v>29</v>
      </c>
      <c r="E196" s="274">
        <v>121.2</v>
      </c>
      <c r="F196" s="274">
        <v>121.2</v>
      </c>
      <c r="G196" s="320">
        <v>121.2</v>
      </c>
      <c r="H196" s="202"/>
    </row>
    <row r="197" spans="1:8" ht="15.75">
      <c r="A197" s="9" t="s">
        <v>100</v>
      </c>
      <c r="B197" s="10" t="s">
        <v>447</v>
      </c>
      <c r="C197" s="10"/>
      <c r="D197" s="11"/>
      <c r="E197" s="260">
        <f>E198</f>
        <v>8</v>
      </c>
      <c r="F197" s="260">
        <f>F198</f>
        <v>8</v>
      </c>
      <c r="G197" s="305">
        <f>G198</f>
        <v>8</v>
      </c>
      <c r="H197" s="202"/>
    </row>
    <row r="198" spans="1:8" ht="15">
      <c r="A198" s="23" t="s">
        <v>146</v>
      </c>
      <c r="B198" s="24" t="s">
        <v>447</v>
      </c>
      <c r="C198" s="33" t="s">
        <v>143</v>
      </c>
      <c r="D198" s="24" t="s">
        <v>29</v>
      </c>
      <c r="E198" s="274">
        <v>8</v>
      </c>
      <c r="F198" s="274">
        <v>8</v>
      </c>
      <c r="G198" s="320">
        <v>8</v>
      </c>
      <c r="H198" s="202"/>
    </row>
    <row r="199" spans="1:8" ht="15.75">
      <c r="A199" s="217" t="s">
        <v>101</v>
      </c>
      <c r="B199" s="218" t="s">
        <v>448</v>
      </c>
      <c r="C199" s="218"/>
      <c r="D199" s="219"/>
      <c r="E199" s="334">
        <f>SUM(E200:E200)</f>
        <v>400</v>
      </c>
      <c r="F199" s="334">
        <f>SUM(F200:F200)</f>
        <v>400</v>
      </c>
      <c r="G199" s="335">
        <f>SUM(G200:G200)</f>
        <v>400</v>
      </c>
      <c r="H199" s="202"/>
    </row>
    <row r="200" spans="1:8" ht="15">
      <c r="A200" s="180" t="s">
        <v>146</v>
      </c>
      <c r="B200" s="195" t="s">
        <v>448</v>
      </c>
      <c r="C200" s="196" t="s">
        <v>143</v>
      </c>
      <c r="D200" s="195" t="s">
        <v>29</v>
      </c>
      <c r="E200" s="273">
        <v>400</v>
      </c>
      <c r="F200" s="273">
        <v>400</v>
      </c>
      <c r="G200" s="289">
        <v>400</v>
      </c>
      <c r="H200" s="202"/>
    </row>
    <row r="201" spans="1:8" ht="15.75">
      <c r="A201" s="217" t="s">
        <v>102</v>
      </c>
      <c r="B201" s="218" t="s">
        <v>449</v>
      </c>
      <c r="C201" s="218"/>
      <c r="D201" s="219"/>
      <c r="E201" s="334">
        <f>SUM(E202:E202)</f>
        <v>3344.4</v>
      </c>
      <c r="F201" s="334">
        <f>SUM(F202:F202)</f>
        <v>3344.4</v>
      </c>
      <c r="G201" s="334">
        <f>SUM(G202:G202)</f>
        <v>3344.4</v>
      </c>
      <c r="H201" s="202"/>
    </row>
    <row r="202" spans="1:8" ht="15">
      <c r="A202" s="165" t="s">
        <v>146</v>
      </c>
      <c r="B202" s="166" t="s">
        <v>449</v>
      </c>
      <c r="C202" s="191" t="s">
        <v>143</v>
      </c>
      <c r="D202" s="166" t="s">
        <v>29</v>
      </c>
      <c r="E202" s="295">
        <v>3344.4</v>
      </c>
      <c r="F202" s="295">
        <v>3344.4</v>
      </c>
      <c r="G202" s="296">
        <v>3344.4</v>
      </c>
      <c r="H202" s="202"/>
    </row>
    <row r="203" spans="1:8" ht="30.75">
      <c r="A203" s="128" t="s">
        <v>167</v>
      </c>
      <c r="B203" s="129" t="s">
        <v>450</v>
      </c>
      <c r="C203" s="129"/>
      <c r="D203" s="192"/>
      <c r="E203" s="332">
        <f>SUM(E204:E204)</f>
        <v>100</v>
      </c>
      <c r="F203" s="332">
        <f>SUM(F204:F204)</f>
        <v>100</v>
      </c>
      <c r="G203" s="333">
        <f>SUM(G204:G204)</f>
        <v>100</v>
      </c>
      <c r="H203" s="202"/>
    </row>
    <row r="204" spans="1:8" ht="15">
      <c r="A204" s="23" t="s">
        <v>146</v>
      </c>
      <c r="B204" s="24" t="s">
        <v>450</v>
      </c>
      <c r="C204" s="33" t="s">
        <v>143</v>
      </c>
      <c r="D204" s="24" t="s">
        <v>29</v>
      </c>
      <c r="E204" s="274">
        <v>100</v>
      </c>
      <c r="F204" s="274">
        <v>100</v>
      </c>
      <c r="G204" s="320">
        <v>100</v>
      </c>
      <c r="H204" s="202"/>
    </row>
    <row r="205" spans="1:7" ht="45.75">
      <c r="A205" s="130" t="s">
        <v>453</v>
      </c>
      <c r="B205" s="135" t="s">
        <v>452</v>
      </c>
      <c r="C205" s="135"/>
      <c r="D205" s="136"/>
      <c r="E205" s="278">
        <f>E206+E215+E212</f>
        <v>112649.3</v>
      </c>
      <c r="F205" s="278">
        <f>F206+F215+F212</f>
        <v>115479.9</v>
      </c>
      <c r="G205" s="285">
        <f>G206+G215+G212</f>
        <v>123229.9</v>
      </c>
    </row>
    <row r="206" spans="1:8" ht="75.75">
      <c r="A206" s="9" t="s">
        <v>454</v>
      </c>
      <c r="B206" s="10" t="s">
        <v>455</v>
      </c>
      <c r="C206" s="10"/>
      <c r="D206" s="11"/>
      <c r="E206" s="250">
        <f>SUM(E207:E211)</f>
        <v>29889.300000000003</v>
      </c>
      <c r="F206" s="250">
        <f>SUM(F207:F211)</f>
        <v>29889.3</v>
      </c>
      <c r="G206" s="251">
        <f>SUM(G207:G211)</f>
        <v>29889.3</v>
      </c>
      <c r="H206" s="202"/>
    </row>
    <row r="207" spans="1:8" ht="45">
      <c r="A207" s="25" t="s">
        <v>145</v>
      </c>
      <c r="B207" s="26" t="s">
        <v>455</v>
      </c>
      <c r="C207" s="26" t="s">
        <v>142</v>
      </c>
      <c r="D207" s="26" t="s">
        <v>29</v>
      </c>
      <c r="E207" s="252">
        <v>1601.8</v>
      </c>
      <c r="F207" s="252">
        <v>1601.8</v>
      </c>
      <c r="G207" s="252">
        <v>1601.8</v>
      </c>
      <c r="H207" s="202"/>
    </row>
    <row r="208" spans="1:8" ht="15">
      <c r="A208" s="27" t="s">
        <v>146</v>
      </c>
      <c r="B208" s="28" t="s">
        <v>455</v>
      </c>
      <c r="C208" s="28" t="s">
        <v>143</v>
      </c>
      <c r="D208" s="28" t="s">
        <v>29</v>
      </c>
      <c r="E208" s="253">
        <v>320.4</v>
      </c>
      <c r="F208" s="253">
        <v>320.4</v>
      </c>
      <c r="G208" s="253">
        <v>320.4</v>
      </c>
      <c r="H208" s="202"/>
    </row>
    <row r="209" spans="1:8" ht="15">
      <c r="A209" s="27" t="s">
        <v>146</v>
      </c>
      <c r="B209" s="28" t="s">
        <v>455</v>
      </c>
      <c r="C209" s="28" t="s">
        <v>143</v>
      </c>
      <c r="D209" s="28" t="s">
        <v>32</v>
      </c>
      <c r="E209" s="253">
        <f>11916.5+900.7-0.1-23.6</f>
        <v>12793.5</v>
      </c>
      <c r="F209" s="253">
        <f>11916.5+900.7-0.1</f>
        <v>12817.1</v>
      </c>
      <c r="G209" s="253">
        <f>11916.5+900.7-0.1</f>
        <v>12817.1</v>
      </c>
      <c r="H209" s="202"/>
    </row>
    <row r="210" spans="1:8" ht="15">
      <c r="A210" s="180" t="s">
        <v>158</v>
      </c>
      <c r="B210" s="28" t="s">
        <v>455</v>
      </c>
      <c r="C210" s="28" t="s">
        <v>156</v>
      </c>
      <c r="D210" s="28" t="s">
        <v>32</v>
      </c>
      <c r="E210" s="254">
        <f>43+23.6</f>
        <v>66.6</v>
      </c>
      <c r="F210" s="254">
        <v>43</v>
      </c>
      <c r="G210" s="254">
        <v>43</v>
      </c>
      <c r="H210" s="202"/>
    </row>
    <row r="211" spans="1:8" ht="15">
      <c r="A211" s="23" t="s">
        <v>155</v>
      </c>
      <c r="B211" s="24" t="s">
        <v>455</v>
      </c>
      <c r="C211" s="24" t="s">
        <v>154</v>
      </c>
      <c r="D211" s="24" t="s">
        <v>32</v>
      </c>
      <c r="E211" s="255">
        <v>15107</v>
      </c>
      <c r="F211" s="255">
        <v>15107</v>
      </c>
      <c r="G211" s="255">
        <v>15107</v>
      </c>
      <c r="H211" s="202"/>
    </row>
    <row r="212" spans="1:8" ht="30.75">
      <c r="A212" s="227" t="s">
        <v>206</v>
      </c>
      <c r="B212" s="185" t="s">
        <v>516</v>
      </c>
      <c r="C212" s="186"/>
      <c r="D212" s="187"/>
      <c r="E212" s="250">
        <f>SUM(E213:E214)</f>
        <v>23280.7</v>
      </c>
      <c r="F212" s="250">
        <f>SUM(F213:F214)</f>
        <v>24044.1</v>
      </c>
      <c r="G212" s="251">
        <f>SUM(G213:G214)</f>
        <v>33462</v>
      </c>
      <c r="H212" s="202"/>
    </row>
    <row r="213" spans="1:8" ht="15">
      <c r="A213" s="229" t="s">
        <v>146</v>
      </c>
      <c r="B213" s="96" t="s">
        <v>516</v>
      </c>
      <c r="C213" s="96" t="s">
        <v>143</v>
      </c>
      <c r="D213" s="162" t="s">
        <v>32</v>
      </c>
      <c r="E213" s="256">
        <f>9544.5+507.4-0.1</f>
        <v>10051.8</v>
      </c>
      <c r="F213" s="256">
        <f>6554.4+3827+0.1</f>
        <v>10381.5</v>
      </c>
      <c r="G213" s="257">
        <f>27548-13100.2</f>
        <v>14447.8</v>
      </c>
      <c r="H213" s="202"/>
    </row>
    <row r="214" spans="1:8" ht="15">
      <c r="A214" s="231" t="s">
        <v>155</v>
      </c>
      <c r="B214" s="95" t="s">
        <v>516</v>
      </c>
      <c r="C214" s="95" t="s">
        <v>154</v>
      </c>
      <c r="D214" s="163" t="s">
        <v>32</v>
      </c>
      <c r="E214" s="258">
        <f>12561.2+667.7</f>
        <v>13228.900000000001</v>
      </c>
      <c r="F214" s="258">
        <f>8625.9+5036.7</f>
        <v>13662.599999999999</v>
      </c>
      <c r="G214" s="259">
        <v>19014.2</v>
      </c>
      <c r="H214" s="202"/>
    </row>
    <row r="215" spans="1:8" ht="30.75">
      <c r="A215" s="227" t="s">
        <v>206</v>
      </c>
      <c r="B215" s="185" t="s">
        <v>456</v>
      </c>
      <c r="C215" s="186"/>
      <c r="D215" s="187"/>
      <c r="E215" s="250">
        <f>SUM(E216:E217)</f>
        <v>59479.3</v>
      </c>
      <c r="F215" s="250">
        <f>SUM(F216:F217)</f>
        <v>61546.5</v>
      </c>
      <c r="G215" s="251">
        <f>SUM(G216:G217)</f>
        <v>59878.6</v>
      </c>
      <c r="H215" s="202"/>
    </row>
    <row r="216" spans="1:8" ht="15">
      <c r="A216" s="229" t="s">
        <v>146</v>
      </c>
      <c r="B216" s="96" t="s">
        <v>456</v>
      </c>
      <c r="C216" s="96" t="s">
        <v>143</v>
      </c>
      <c r="D216" s="162" t="s">
        <v>32</v>
      </c>
      <c r="E216" s="256">
        <f>23347+2334.2</f>
        <v>25681.2</v>
      </c>
      <c r="F216" s="256">
        <f>27971.7-1397.9</f>
        <v>26573.8</v>
      </c>
      <c r="G216" s="257">
        <v>25853.6</v>
      </c>
      <c r="H216" s="202"/>
    </row>
    <row r="217" spans="1:8" ht="15">
      <c r="A217" s="231" t="s">
        <v>155</v>
      </c>
      <c r="B217" s="95" t="s">
        <v>456</v>
      </c>
      <c r="C217" s="95" t="s">
        <v>154</v>
      </c>
      <c r="D217" s="163" t="s">
        <v>32</v>
      </c>
      <c r="E217" s="258">
        <f>30726.1+3072</f>
        <v>33798.1</v>
      </c>
      <c r="F217" s="258">
        <f>36812.5-1839.8</f>
        <v>34972.7</v>
      </c>
      <c r="G217" s="259">
        <v>34025</v>
      </c>
      <c r="H217" s="202"/>
    </row>
    <row r="218" spans="1:7" ht="45.75">
      <c r="A218" s="146" t="s">
        <v>459</v>
      </c>
      <c r="B218" s="147" t="s">
        <v>460</v>
      </c>
      <c r="C218" s="147"/>
      <c r="D218" s="148"/>
      <c r="E218" s="278">
        <f>E219+E221+E223+E225+E227+E229+E231+E234</f>
        <v>51608.5</v>
      </c>
      <c r="F218" s="278">
        <f>F219+F221+F223+F225+F227+F229+F231+F234</f>
        <v>51608.5</v>
      </c>
      <c r="G218" s="285">
        <f>G219+G221+G223+G225+G227+G229+G231+G234</f>
        <v>51608.5</v>
      </c>
    </row>
    <row r="219" spans="1:8" ht="15.75">
      <c r="A219" s="161" t="s">
        <v>82</v>
      </c>
      <c r="B219" s="49" t="s">
        <v>461</v>
      </c>
      <c r="C219" s="49"/>
      <c r="D219" s="188"/>
      <c r="E219" s="260">
        <f>E220</f>
        <v>7348.3</v>
      </c>
      <c r="F219" s="266">
        <f>F220</f>
        <v>7348.3</v>
      </c>
      <c r="G219" s="305">
        <f>G220</f>
        <v>7348.3</v>
      </c>
      <c r="H219" s="202"/>
    </row>
    <row r="220" spans="1:8" ht="15">
      <c r="A220" s="16" t="s">
        <v>158</v>
      </c>
      <c r="B220" s="17" t="s">
        <v>461</v>
      </c>
      <c r="C220" s="17" t="s">
        <v>156</v>
      </c>
      <c r="D220" s="18" t="s">
        <v>33</v>
      </c>
      <c r="E220" s="264">
        <v>7348.3</v>
      </c>
      <c r="F220" s="264">
        <v>7348.3</v>
      </c>
      <c r="G220" s="264">
        <v>7348.3</v>
      </c>
      <c r="H220" s="202"/>
    </row>
    <row r="221" spans="1:8" ht="30.75">
      <c r="A221" s="9" t="s">
        <v>83</v>
      </c>
      <c r="B221" s="10" t="s">
        <v>462</v>
      </c>
      <c r="C221" s="10"/>
      <c r="D221" s="21"/>
      <c r="E221" s="260">
        <f>E222</f>
        <v>1405.2</v>
      </c>
      <c r="F221" s="266">
        <f>F222</f>
        <v>1405.2</v>
      </c>
      <c r="G221" s="305">
        <f>G222</f>
        <v>1405.2</v>
      </c>
      <c r="H221" s="202"/>
    </row>
    <row r="222" spans="1:8" ht="15">
      <c r="A222" s="16" t="s">
        <v>146</v>
      </c>
      <c r="B222" s="17" t="s">
        <v>462</v>
      </c>
      <c r="C222" s="17" t="s">
        <v>143</v>
      </c>
      <c r="D222" s="18" t="s">
        <v>33</v>
      </c>
      <c r="E222" s="264">
        <v>1405.2</v>
      </c>
      <c r="F222" s="336">
        <v>1405.2</v>
      </c>
      <c r="G222" s="337">
        <v>1405.2</v>
      </c>
      <c r="H222" s="202"/>
    </row>
    <row r="223" spans="1:8" ht="75.75">
      <c r="A223" s="161" t="s">
        <v>198</v>
      </c>
      <c r="B223" s="49" t="s">
        <v>463</v>
      </c>
      <c r="C223" s="49"/>
      <c r="D223" s="188"/>
      <c r="E223" s="260">
        <f>E224</f>
        <v>34040.7</v>
      </c>
      <c r="F223" s="266">
        <f>F224</f>
        <v>34040.7</v>
      </c>
      <c r="G223" s="305">
        <f>G224</f>
        <v>34040.7</v>
      </c>
      <c r="H223" s="202"/>
    </row>
    <row r="224" spans="1:8" ht="15">
      <c r="A224" s="16" t="s">
        <v>158</v>
      </c>
      <c r="B224" s="17" t="s">
        <v>463</v>
      </c>
      <c r="C224" s="17" t="s">
        <v>156</v>
      </c>
      <c r="D224" s="18" t="s">
        <v>33</v>
      </c>
      <c r="E224" s="264">
        <v>34040.7</v>
      </c>
      <c r="F224" s="336">
        <v>34040.7</v>
      </c>
      <c r="G224" s="337">
        <v>34040.7</v>
      </c>
      <c r="H224" s="202"/>
    </row>
    <row r="225" spans="1:8" ht="90.75">
      <c r="A225" s="9" t="s">
        <v>199</v>
      </c>
      <c r="B225" s="10" t="s">
        <v>464</v>
      </c>
      <c r="C225" s="10"/>
      <c r="D225" s="21"/>
      <c r="E225" s="260">
        <f>E226</f>
        <v>795</v>
      </c>
      <c r="F225" s="266">
        <f>F226</f>
        <v>795</v>
      </c>
      <c r="G225" s="305">
        <f>G226</f>
        <v>795</v>
      </c>
      <c r="H225" s="202"/>
    </row>
    <row r="226" spans="1:8" ht="15">
      <c r="A226" s="16" t="s">
        <v>158</v>
      </c>
      <c r="B226" s="17" t="s">
        <v>464</v>
      </c>
      <c r="C226" s="17" t="s">
        <v>156</v>
      </c>
      <c r="D226" s="18" t="s">
        <v>32</v>
      </c>
      <c r="E226" s="264">
        <v>795</v>
      </c>
      <c r="F226" s="336">
        <v>795</v>
      </c>
      <c r="G226" s="337">
        <v>795</v>
      </c>
      <c r="H226" s="202"/>
    </row>
    <row r="227" spans="1:8" ht="90.75">
      <c r="A227" s="9" t="s">
        <v>200</v>
      </c>
      <c r="B227" s="10" t="s">
        <v>465</v>
      </c>
      <c r="C227" s="10"/>
      <c r="D227" s="21"/>
      <c r="E227" s="260">
        <f>E228</f>
        <v>160</v>
      </c>
      <c r="F227" s="266">
        <f>F228</f>
        <v>160</v>
      </c>
      <c r="G227" s="305">
        <f>G228</f>
        <v>160</v>
      </c>
      <c r="H227" s="202"/>
    </row>
    <row r="228" spans="1:8" ht="15">
      <c r="A228" s="16" t="s">
        <v>158</v>
      </c>
      <c r="B228" s="17" t="s">
        <v>465</v>
      </c>
      <c r="C228" s="18" t="s">
        <v>156</v>
      </c>
      <c r="D228" s="18" t="s">
        <v>32</v>
      </c>
      <c r="E228" s="264">
        <v>160</v>
      </c>
      <c r="F228" s="336">
        <v>160</v>
      </c>
      <c r="G228" s="337">
        <v>160</v>
      </c>
      <c r="H228" s="202"/>
    </row>
    <row r="229" spans="1:8" ht="45.75">
      <c r="A229" s="9" t="s">
        <v>84</v>
      </c>
      <c r="B229" s="10" t="s">
        <v>466</v>
      </c>
      <c r="C229" s="10"/>
      <c r="D229" s="21"/>
      <c r="E229" s="260">
        <f>E230</f>
        <v>720</v>
      </c>
      <c r="F229" s="266">
        <f>F230</f>
        <v>720</v>
      </c>
      <c r="G229" s="305">
        <f>G230</f>
        <v>720</v>
      </c>
      <c r="H229" s="202"/>
    </row>
    <row r="230" spans="1:8" ht="15">
      <c r="A230" s="16" t="s">
        <v>158</v>
      </c>
      <c r="B230" s="17" t="s">
        <v>466</v>
      </c>
      <c r="C230" s="17" t="s">
        <v>156</v>
      </c>
      <c r="D230" s="18" t="s">
        <v>32</v>
      </c>
      <c r="E230" s="264">
        <v>720</v>
      </c>
      <c r="F230" s="336">
        <v>720</v>
      </c>
      <c r="G230" s="337">
        <v>720</v>
      </c>
      <c r="H230" s="202"/>
    </row>
    <row r="231" spans="1:8" ht="135.75">
      <c r="A231" s="9" t="s">
        <v>201</v>
      </c>
      <c r="B231" s="10" t="s">
        <v>467</v>
      </c>
      <c r="C231" s="10"/>
      <c r="D231" s="21"/>
      <c r="E231" s="260">
        <f>E232+E233</f>
        <v>6842.4</v>
      </c>
      <c r="F231" s="260">
        <f>F232+F233</f>
        <v>6842.4</v>
      </c>
      <c r="G231" s="260">
        <f>G232+G233</f>
        <v>6842.4</v>
      </c>
      <c r="H231" s="202"/>
    </row>
    <row r="232" spans="1:8" ht="15">
      <c r="A232" s="248" t="s">
        <v>539</v>
      </c>
      <c r="B232" s="249" t="s">
        <v>467</v>
      </c>
      <c r="C232" s="249" t="s">
        <v>154</v>
      </c>
      <c r="D232" s="69" t="s">
        <v>32</v>
      </c>
      <c r="E232" s="262">
        <v>250</v>
      </c>
      <c r="F232" s="262">
        <v>250</v>
      </c>
      <c r="G232" s="338">
        <v>250</v>
      </c>
      <c r="H232" s="202"/>
    </row>
    <row r="233" spans="1:8" ht="15">
      <c r="A233" s="242" t="s">
        <v>147</v>
      </c>
      <c r="B233" s="213" t="s">
        <v>467</v>
      </c>
      <c r="C233" s="213" t="s">
        <v>144</v>
      </c>
      <c r="D233" s="18" t="s">
        <v>32</v>
      </c>
      <c r="E233" s="264">
        <v>6592.4</v>
      </c>
      <c r="F233" s="264">
        <v>6592.4</v>
      </c>
      <c r="G233" s="339">
        <v>6592.4</v>
      </c>
      <c r="H233" s="202"/>
    </row>
    <row r="234" spans="1:8" ht="15.75">
      <c r="A234" s="19" t="s">
        <v>202</v>
      </c>
      <c r="B234" s="10" t="s">
        <v>468</v>
      </c>
      <c r="C234" s="10"/>
      <c r="D234" s="21"/>
      <c r="E234" s="260">
        <f>E235</f>
        <v>296.9</v>
      </c>
      <c r="F234" s="266">
        <f>F235</f>
        <v>296.9</v>
      </c>
      <c r="G234" s="305">
        <f>G235</f>
        <v>296.9</v>
      </c>
      <c r="H234" s="202"/>
    </row>
    <row r="235" spans="1:8" ht="15">
      <c r="A235" s="22" t="s">
        <v>158</v>
      </c>
      <c r="B235" s="17" t="s">
        <v>468</v>
      </c>
      <c r="C235" s="17" t="s">
        <v>156</v>
      </c>
      <c r="D235" s="18" t="s">
        <v>32</v>
      </c>
      <c r="E235" s="264">
        <v>296.9</v>
      </c>
      <c r="F235" s="336">
        <v>296.9</v>
      </c>
      <c r="G235" s="337">
        <v>296.9</v>
      </c>
      <c r="H235" s="202"/>
    </row>
    <row r="236" spans="1:8" ht="30.75">
      <c r="A236" s="232" t="s">
        <v>601</v>
      </c>
      <c r="B236" s="143" t="s">
        <v>525</v>
      </c>
      <c r="C236" s="145"/>
      <c r="D236" s="145"/>
      <c r="E236" s="340">
        <f aca="true" t="shared" si="4" ref="E236:G237">E237</f>
        <v>480</v>
      </c>
      <c r="F236" s="340">
        <f t="shared" si="4"/>
        <v>480</v>
      </c>
      <c r="G236" s="340">
        <f t="shared" si="4"/>
        <v>480</v>
      </c>
      <c r="H236" s="202"/>
    </row>
    <row r="237" spans="1:8" ht="30.75">
      <c r="A237" s="228" t="s">
        <v>99</v>
      </c>
      <c r="B237" s="97" t="s">
        <v>600</v>
      </c>
      <c r="C237" s="96"/>
      <c r="D237" s="96"/>
      <c r="E237" s="341">
        <f t="shared" si="4"/>
        <v>480</v>
      </c>
      <c r="F237" s="341">
        <f t="shared" si="4"/>
        <v>480</v>
      </c>
      <c r="G237" s="342">
        <f t="shared" si="4"/>
        <v>480</v>
      </c>
      <c r="H237" s="202"/>
    </row>
    <row r="238" spans="1:8" ht="15">
      <c r="A238" s="22" t="s">
        <v>146</v>
      </c>
      <c r="B238" s="95" t="s">
        <v>600</v>
      </c>
      <c r="C238" s="95" t="s">
        <v>143</v>
      </c>
      <c r="D238" s="95" t="s">
        <v>114</v>
      </c>
      <c r="E238" s="274">
        <f>48+432</f>
        <v>480</v>
      </c>
      <c r="F238" s="274">
        <f>52.8+427.2</f>
        <v>480</v>
      </c>
      <c r="G238" s="320">
        <f>57.6+422.4</f>
        <v>480</v>
      </c>
      <c r="H238" s="202"/>
    </row>
    <row r="239" spans="1:8" ht="15.75">
      <c r="A239" s="3" t="s">
        <v>547</v>
      </c>
      <c r="B239" s="4" t="s">
        <v>552</v>
      </c>
      <c r="C239" s="4"/>
      <c r="D239" s="5"/>
      <c r="E239" s="283">
        <f>E240+E245+E261</f>
        <v>66800.59999999999</v>
      </c>
      <c r="F239" s="283">
        <f>F240+F245+F261</f>
        <v>168933.8</v>
      </c>
      <c r="G239" s="283">
        <f>G240+G245+G261</f>
        <v>215783.7</v>
      </c>
      <c r="H239" s="202"/>
    </row>
    <row r="240" spans="1:8" ht="30.75">
      <c r="A240" s="232" t="s">
        <v>612</v>
      </c>
      <c r="B240" s="143" t="s">
        <v>553</v>
      </c>
      <c r="C240" s="144"/>
      <c r="D240" s="144"/>
      <c r="E240" s="340">
        <f>E241+E243</f>
        <v>2259.9</v>
      </c>
      <c r="F240" s="340">
        <f>F241+F243</f>
        <v>2259.9</v>
      </c>
      <c r="G240" s="340">
        <f>G241+G243</f>
        <v>65717.3</v>
      </c>
      <c r="H240" s="202"/>
    </row>
    <row r="241" spans="1:8" ht="30.75">
      <c r="A241" s="19" t="s">
        <v>511</v>
      </c>
      <c r="B241" s="10" t="s">
        <v>581</v>
      </c>
      <c r="C241" s="10"/>
      <c r="D241" s="11"/>
      <c r="E241" s="260">
        <f>E242</f>
        <v>2259.9</v>
      </c>
      <c r="F241" s="260">
        <f>F242</f>
        <v>2259.9</v>
      </c>
      <c r="G241" s="260">
        <f>G242</f>
        <v>2259.9</v>
      </c>
      <c r="H241" s="202"/>
    </row>
    <row r="242" spans="1:8" ht="15">
      <c r="A242" s="23" t="s">
        <v>146</v>
      </c>
      <c r="B242" s="24" t="s">
        <v>581</v>
      </c>
      <c r="C242" s="33" t="s">
        <v>143</v>
      </c>
      <c r="D242" s="33" t="s">
        <v>26</v>
      </c>
      <c r="E242" s="274">
        <f>226+2033.9</f>
        <v>2259.9</v>
      </c>
      <c r="F242" s="274">
        <f>248.6+2011.3</f>
        <v>2259.9</v>
      </c>
      <c r="G242" s="320">
        <f>271.2+1988.7</f>
        <v>2259.9</v>
      </c>
      <c r="H242" s="202"/>
    </row>
    <row r="243" spans="1:8" ht="15.75">
      <c r="A243" s="19" t="s">
        <v>583</v>
      </c>
      <c r="B243" s="10" t="s">
        <v>582</v>
      </c>
      <c r="C243" s="10"/>
      <c r="D243" s="11"/>
      <c r="E243" s="260">
        <f>E244</f>
        <v>0</v>
      </c>
      <c r="F243" s="260">
        <f>F244</f>
        <v>0</v>
      </c>
      <c r="G243" s="260">
        <f>G244</f>
        <v>63457.4</v>
      </c>
      <c r="H243" s="202"/>
    </row>
    <row r="244" spans="1:8" ht="15">
      <c r="A244" s="23" t="s">
        <v>146</v>
      </c>
      <c r="B244" s="24" t="s">
        <v>582</v>
      </c>
      <c r="C244" s="33" t="s">
        <v>143</v>
      </c>
      <c r="D244" s="33" t="s">
        <v>26</v>
      </c>
      <c r="E244" s="274">
        <v>0</v>
      </c>
      <c r="F244" s="274">
        <v>0</v>
      </c>
      <c r="G244" s="320">
        <f>7614.9+55842.5</f>
        <v>63457.4</v>
      </c>
      <c r="H244" s="202"/>
    </row>
    <row r="245" spans="1:8" ht="30.75">
      <c r="A245" s="232" t="s">
        <v>556</v>
      </c>
      <c r="B245" s="143" t="s">
        <v>554</v>
      </c>
      <c r="C245" s="145"/>
      <c r="D245" s="145"/>
      <c r="E245" s="340">
        <f>E254+E246+E248+E252+E256+E259+E250</f>
        <v>52302.299999999996</v>
      </c>
      <c r="F245" s="340">
        <f>F254+F246+F248+F252+F256+F259+F250</f>
        <v>68766.5</v>
      </c>
      <c r="G245" s="340">
        <f>G254+G246+G248+G252+G256+G259+G250</f>
        <v>123996.8</v>
      </c>
      <c r="H245" s="202"/>
    </row>
    <row r="246" spans="1:8" ht="30.75">
      <c r="A246" s="228" t="s">
        <v>513</v>
      </c>
      <c r="B246" s="97" t="s">
        <v>593</v>
      </c>
      <c r="C246" s="96"/>
      <c r="D246" s="96"/>
      <c r="E246" s="341">
        <f aca="true" t="shared" si="5" ref="E246:G254">E247</f>
        <v>8766</v>
      </c>
      <c r="F246" s="341">
        <f t="shared" si="5"/>
        <v>8766</v>
      </c>
      <c r="G246" s="317">
        <f t="shared" si="5"/>
        <v>8766</v>
      </c>
      <c r="H246" s="202"/>
    </row>
    <row r="247" spans="1:8" ht="15">
      <c r="A247" s="226" t="s">
        <v>146</v>
      </c>
      <c r="B247" s="95" t="s">
        <v>593</v>
      </c>
      <c r="C247" s="95" t="s">
        <v>143</v>
      </c>
      <c r="D247" s="95" t="s">
        <v>27</v>
      </c>
      <c r="E247" s="343">
        <f>876.6+7889.4</f>
        <v>8766</v>
      </c>
      <c r="F247" s="343">
        <f>964.3+7801.7</f>
        <v>8766</v>
      </c>
      <c r="G247" s="300">
        <f>1051.9+7714.1</f>
        <v>8766</v>
      </c>
      <c r="H247" s="202"/>
    </row>
    <row r="248" spans="1:8" ht="30.75">
      <c r="A248" s="228" t="s">
        <v>514</v>
      </c>
      <c r="B248" s="97" t="s">
        <v>594</v>
      </c>
      <c r="C248" s="96"/>
      <c r="D248" s="96"/>
      <c r="E248" s="341">
        <f t="shared" si="5"/>
        <v>0</v>
      </c>
      <c r="F248" s="341">
        <f t="shared" si="5"/>
        <v>27000</v>
      </c>
      <c r="G248" s="317">
        <f t="shared" si="5"/>
        <v>0</v>
      </c>
      <c r="H248" s="202"/>
    </row>
    <row r="249" spans="1:8" ht="15">
      <c r="A249" s="226" t="s">
        <v>146</v>
      </c>
      <c r="B249" s="95" t="s">
        <v>594</v>
      </c>
      <c r="C249" s="95" t="s">
        <v>143</v>
      </c>
      <c r="D249" s="95" t="s">
        <v>27</v>
      </c>
      <c r="E249" s="343">
        <v>0</v>
      </c>
      <c r="F249" s="343">
        <f>2970+24030</f>
        <v>27000</v>
      </c>
      <c r="G249" s="300">
        <v>0</v>
      </c>
      <c r="H249" s="202"/>
    </row>
    <row r="250" spans="1:8" ht="30.75">
      <c r="A250" s="228" t="s">
        <v>515</v>
      </c>
      <c r="B250" s="97" t="s">
        <v>599</v>
      </c>
      <c r="C250" s="96"/>
      <c r="D250" s="96"/>
      <c r="E250" s="341">
        <f t="shared" si="5"/>
        <v>2433.6</v>
      </c>
      <c r="F250" s="341">
        <f t="shared" si="5"/>
        <v>2433.6</v>
      </c>
      <c r="G250" s="317">
        <f t="shared" si="5"/>
        <v>2433.6</v>
      </c>
      <c r="H250" s="202"/>
    </row>
    <row r="251" spans="1:8" ht="15">
      <c r="A251" s="226" t="s">
        <v>146</v>
      </c>
      <c r="B251" s="95" t="s">
        <v>599</v>
      </c>
      <c r="C251" s="95" t="s">
        <v>143</v>
      </c>
      <c r="D251" s="95" t="s">
        <v>126</v>
      </c>
      <c r="E251" s="343">
        <f>243.4+2190.2</f>
        <v>2433.6</v>
      </c>
      <c r="F251" s="343">
        <f>267.7+2165.9</f>
        <v>2433.6</v>
      </c>
      <c r="G251" s="300">
        <f>292+2141.6</f>
        <v>2433.6</v>
      </c>
      <c r="H251" s="202"/>
    </row>
    <row r="252" spans="1:8" ht="15.75">
      <c r="A252" s="228" t="s">
        <v>596</v>
      </c>
      <c r="B252" s="97" t="s">
        <v>595</v>
      </c>
      <c r="C252" s="96"/>
      <c r="D252" s="96"/>
      <c r="E252" s="341">
        <f t="shared" si="5"/>
        <v>0</v>
      </c>
      <c r="F252" s="341">
        <f t="shared" si="5"/>
        <v>0</v>
      </c>
      <c r="G252" s="317">
        <f t="shared" si="5"/>
        <v>90909.1</v>
      </c>
      <c r="H252" s="202"/>
    </row>
    <row r="253" spans="1:8" ht="15">
      <c r="A253" s="226" t="s">
        <v>146</v>
      </c>
      <c r="B253" s="95" t="s">
        <v>595</v>
      </c>
      <c r="C253" s="95" t="s">
        <v>143</v>
      </c>
      <c r="D253" s="95" t="s">
        <v>27</v>
      </c>
      <c r="E253" s="343">
        <v>0</v>
      </c>
      <c r="F253" s="343">
        <v>0</v>
      </c>
      <c r="G253" s="300">
        <f>10909.1+80000</f>
        <v>90909.1</v>
      </c>
      <c r="H253" s="202"/>
    </row>
    <row r="254" spans="1:8" ht="30.75">
      <c r="A254" s="228" t="s">
        <v>185</v>
      </c>
      <c r="B254" s="97" t="s">
        <v>555</v>
      </c>
      <c r="C254" s="96"/>
      <c r="D254" s="96"/>
      <c r="E254" s="341">
        <f t="shared" si="5"/>
        <v>23001</v>
      </c>
      <c r="F254" s="341">
        <f t="shared" si="5"/>
        <v>12359.5</v>
      </c>
      <c r="G254" s="317">
        <f t="shared" si="5"/>
        <v>12272.7</v>
      </c>
      <c r="H254" s="202"/>
    </row>
    <row r="255" spans="1:8" ht="15">
      <c r="A255" s="226" t="s">
        <v>146</v>
      </c>
      <c r="B255" s="95" t="s">
        <v>555</v>
      </c>
      <c r="C255" s="95" t="s">
        <v>143</v>
      </c>
      <c r="D255" s="95" t="s">
        <v>27</v>
      </c>
      <c r="E255" s="343">
        <f>2440+23116.7-2555.7</f>
        <v>23001</v>
      </c>
      <c r="F255" s="343">
        <f>1342+11017.6-0.1</f>
        <v>12359.5</v>
      </c>
      <c r="G255" s="300">
        <f>1472.7+10800</f>
        <v>12272.7</v>
      </c>
      <c r="H255" s="202"/>
    </row>
    <row r="256" spans="1:8" ht="30.75">
      <c r="A256" s="190" t="s">
        <v>140</v>
      </c>
      <c r="B256" s="157" t="s">
        <v>557</v>
      </c>
      <c r="C256" s="43"/>
      <c r="D256" s="43"/>
      <c r="E256" s="293">
        <f>SUM(E257:E258)</f>
        <v>8700</v>
      </c>
      <c r="F256" s="293">
        <f>SUM(F257:F258)</f>
        <v>8700</v>
      </c>
      <c r="G256" s="294">
        <f>SUM(G257:G258)</f>
        <v>0</v>
      </c>
      <c r="H256" s="202"/>
    </row>
    <row r="257" spans="1:8" ht="15">
      <c r="A257" s="229" t="s">
        <v>146</v>
      </c>
      <c r="B257" s="69" t="s">
        <v>557</v>
      </c>
      <c r="C257" s="69" t="s">
        <v>143</v>
      </c>
      <c r="D257" s="69" t="s">
        <v>27</v>
      </c>
      <c r="E257" s="262">
        <v>0</v>
      </c>
      <c r="F257" s="262">
        <f>782+4431.5</f>
        <v>5213.5</v>
      </c>
      <c r="G257" s="263">
        <v>0</v>
      </c>
      <c r="H257" s="202"/>
    </row>
    <row r="258" spans="1:8" ht="15">
      <c r="A258" s="22" t="s">
        <v>159</v>
      </c>
      <c r="B258" s="18" t="s">
        <v>557</v>
      </c>
      <c r="C258" s="18" t="s">
        <v>157</v>
      </c>
      <c r="D258" s="18" t="s">
        <v>27</v>
      </c>
      <c r="E258" s="264">
        <f>1305+7395</f>
        <v>8700</v>
      </c>
      <c r="F258" s="264">
        <f>523+2963.5</f>
        <v>3486.5</v>
      </c>
      <c r="G258" s="265">
        <v>0</v>
      </c>
      <c r="H258" s="202"/>
    </row>
    <row r="259" spans="1:8" ht="30.75">
      <c r="A259" s="228" t="s">
        <v>598</v>
      </c>
      <c r="B259" s="97" t="s">
        <v>597</v>
      </c>
      <c r="C259" s="96"/>
      <c r="D259" s="96"/>
      <c r="E259" s="341">
        <f>E260</f>
        <v>9401.7</v>
      </c>
      <c r="F259" s="341">
        <f>F260</f>
        <v>9507.4</v>
      </c>
      <c r="G259" s="317">
        <f>G260</f>
        <v>9615.4</v>
      </c>
      <c r="H259" s="202"/>
    </row>
    <row r="260" spans="1:8" ht="15">
      <c r="A260" s="226" t="s">
        <v>146</v>
      </c>
      <c r="B260" s="95" t="s">
        <v>597</v>
      </c>
      <c r="C260" s="95" t="s">
        <v>143</v>
      </c>
      <c r="D260" s="95" t="s">
        <v>27</v>
      </c>
      <c r="E260" s="343">
        <f>940.2+8461.5</f>
        <v>9401.7</v>
      </c>
      <c r="F260" s="343">
        <f>1045.8+8461.6</f>
        <v>9507.4</v>
      </c>
      <c r="G260" s="300">
        <f>1153.8+8461.6</f>
        <v>9615.4</v>
      </c>
      <c r="H260" s="202"/>
    </row>
    <row r="261" spans="1:8" ht="30.75">
      <c r="A261" s="232" t="s">
        <v>603</v>
      </c>
      <c r="B261" s="143" t="s">
        <v>602</v>
      </c>
      <c r="C261" s="144"/>
      <c r="D261" s="144"/>
      <c r="E261" s="340">
        <f>E262+E264</f>
        <v>12238.4</v>
      </c>
      <c r="F261" s="340">
        <f>F262+F264</f>
        <v>97907.40000000001</v>
      </c>
      <c r="G261" s="340">
        <f>G262+G264</f>
        <v>26069.600000000002</v>
      </c>
      <c r="H261" s="202"/>
    </row>
    <row r="262" spans="1:8" ht="30.75">
      <c r="A262" s="19" t="s">
        <v>127</v>
      </c>
      <c r="B262" s="10" t="s">
        <v>604</v>
      </c>
      <c r="C262" s="10"/>
      <c r="D262" s="11"/>
      <c r="E262" s="260">
        <f>E263</f>
        <v>11754</v>
      </c>
      <c r="F262" s="260">
        <f>F263</f>
        <v>93682.1</v>
      </c>
      <c r="G262" s="260">
        <f>G263</f>
        <v>24680.800000000003</v>
      </c>
      <c r="H262" s="202"/>
    </row>
    <row r="263" spans="1:8" ht="15">
      <c r="A263" s="32" t="s">
        <v>159</v>
      </c>
      <c r="B263" s="33" t="s">
        <v>604</v>
      </c>
      <c r="C263" s="33" t="s">
        <v>157</v>
      </c>
      <c r="D263" s="33" t="s">
        <v>33</v>
      </c>
      <c r="E263" s="274">
        <f>10278.6+1475.4</f>
        <v>11754</v>
      </c>
      <c r="F263" s="274">
        <f>95942.8-2260.7</f>
        <v>93682.1</v>
      </c>
      <c r="G263" s="320">
        <f>26069.7-0.1-1388.8</f>
        <v>24680.800000000003</v>
      </c>
      <c r="H263" s="202"/>
    </row>
    <row r="264" spans="1:8" ht="30.75">
      <c r="A264" s="19" t="s">
        <v>127</v>
      </c>
      <c r="B264" s="10" t="s">
        <v>605</v>
      </c>
      <c r="C264" s="10"/>
      <c r="D264" s="11"/>
      <c r="E264" s="260">
        <f>E265</f>
        <v>484.39999999999986</v>
      </c>
      <c r="F264" s="260">
        <f>F265</f>
        <v>4225.299999999999</v>
      </c>
      <c r="G264" s="260">
        <f>G265</f>
        <v>1388.8</v>
      </c>
      <c r="H264" s="202"/>
    </row>
    <row r="265" spans="1:8" ht="15">
      <c r="A265" s="32" t="s">
        <v>159</v>
      </c>
      <c r="B265" s="33" t="s">
        <v>605</v>
      </c>
      <c r="C265" s="33" t="s">
        <v>157</v>
      </c>
      <c r="D265" s="33" t="s">
        <v>33</v>
      </c>
      <c r="E265" s="274">
        <f>1959.8-1475.4</f>
        <v>484.39999999999986</v>
      </c>
      <c r="F265" s="274">
        <f>1964.6+2260.7</f>
        <v>4225.299999999999</v>
      </c>
      <c r="G265" s="320">
        <v>1388.8</v>
      </c>
      <c r="H265" s="202"/>
    </row>
    <row r="266" spans="1:8" ht="30.75">
      <c r="A266" s="51" t="s">
        <v>38</v>
      </c>
      <c r="B266" s="76" t="s">
        <v>211</v>
      </c>
      <c r="C266" s="77"/>
      <c r="D266" s="53"/>
      <c r="E266" s="344">
        <f>E267+E282</f>
        <v>9903.6</v>
      </c>
      <c r="F266" s="344">
        <f>F267+F282</f>
        <v>11425</v>
      </c>
      <c r="G266" s="344">
        <f>G267+G282</f>
        <v>9427</v>
      </c>
      <c r="H266" s="203"/>
    </row>
    <row r="267" spans="1:8" ht="15.75">
      <c r="A267" s="78" t="s">
        <v>222</v>
      </c>
      <c r="B267" s="6" t="s">
        <v>212</v>
      </c>
      <c r="C267" s="6"/>
      <c r="D267" s="7"/>
      <c r="E267" s="345">
        <f>E268+E271+E274+E277</f>
        <v>5163</v>
      </c>
      <c r="F267" s="345">
        <f>F268+F271+F274+F277</f>
        <v>4941</v>
      </c>
      <c r="G267" s="345">
        <f>G268+G271+G274+G277</f>
        <v>4941</v>
      </c>
      <c r="H267" s="202"/>
    </row>
    <row r="268" spans="1:8" ht="30.75">
      <c r="A268" s="130" t="s">
        <v>215</v>
      </c>
      <c r="B268" s="135" t="s">
        <v>213</v>
      </c>
      <c r="C268" s="135"/>
      <c r="D268" s="136"/>
      <c r="E268" s="278">
        <f aca="true" t="shared" si="6" ref="E268:G269">E269</f>
        <v>1768</v>
      </c>
      <c r="F268" s="278">
        <f t="shared" si="6"/>
        <v>1768</v>
      </c>
      <c r="G268" s="285">
        <f t="shared" si="6"/>
        <v>1768</v>
      </c>
      <c r="H268" s="202"/>
    </row>
    <row r="269" spans="1:8" ht="18">
      <c r="A269" s="9" t="s">
        <v>128</v>
      </c>
      <c r="B269" s="10" t="s">
        <v>214</v>
      </c>
      <c r="C269" s="75"/>
      <c r="D269" s="11"/>
      <c r="E269" s="266">
        <f t="shared" si="6"/>
        <v>1768</v>
      </c>
      <c r="F269" s="266">
        <f t="shared" si="6"/>
        <v>1768</v>
      </c>
      <c r="G269" s="305">
        <f t="shared" si="6"/>
        <v>1768</v>
      </c>
      <c r="H269" s="202"/>
    </row>
    <row r="270" spans="1:8" ht="15">
      <c r="A270" s="16" t="s">
        <v>147</v>
      </c>
      <c r="B270" s="17" t="s">
        <v>214</v>
      </c>
      <c r="C270" s="17" t="s">
        <v>144</v>
      </c>
      <c r="D270" s="17" t="s">
        <v>35</v>
      </c>
      <c r="E270" s="336">
        <v>1768</v>
      </c>
      <c r="F270" s="336">
        <v>1768</v>
      </c>
      <c r="G270" s="336">
        <v>1768</v>
      </c>
      <c r="H270" s="202"/>
    </row>
    <row r="271" spans="1:8" ht="30.75">
      <c r="A271" s="130" t="s">
        <v>221</v>
      </c>
      <c r="B271" s="135" t="s">
        <v>219</v>
      </c>
      <c r="C271" s="135"/>
      <c r="D271" s="136"/>
      <c r="E271" s="278">
        <f aca="true" t="shared" si="7" ref="E271:G272">E272</f>
        <v>580</v>
      </c>
      <c r="F271" s="278">
        <f t="shared" si="7"/>
        <v>358</v>
      </c>
      <c r="G271" s="285">
        <f t="shared" si="7"/>
        <v>358</v>
      </c>
      <c r="H271" s="202"/>
    </row>
    <row r="272" spans="1:8" ht="18">
      <c r="A272" s="19" t="s">
        <v>195</v>
      </c>
      <c r="B272" s="10" t="s">
        <v>220</v>
      </c>
      <c r="C272" s="75"/>
      <c r="D272" s="11"/>
      <c r="E272" s="266">
        <f t="shared" si="7"/>
        <v>580</v>
      </c>
      <c r="F272" s="266">
        <f t="shared" si="7"/>
        <v>358</v>
      </c>
      <c r="G272" s="305">
        <f t="shared" si="7"/>
        <v>358</v>
      </c>
      <c r="H272" s="202"/>
    </row>
    <row r="273" spans="1:8" ht="15">
      <c r="A273" s="16" t="s">
        <v>146</v>
      </c>
      <c r="B273" s="17" t="s">
        <v>220</v>
      </c>
      <c r="C273" s="17" t="s">
        <v>143</v>
      </c>
      <c r="D273" s="17" t="s">
        <v>35</v>
      </c>
      <c r="E273" s="336">
        <v>580</v>
      </c>
      <c r="F273" s="336">
        <v>358</v>
      </c>
      <c r="G273" s="337">
        <v>358</v>
      </c>
      <c r="H273" s="202"/>
    </row>
    <row r="274" spans="1:8" ht="30.75">
      <c r="A274" s="130" t="s">
        <v>218</v>
      </c>
      <c r="B274" s="135" t="s">
        <v>216</v>
      </c>
      <c r="C274" s="135"/>
      <c r="D274" s="136"/>
      <c r="E274" s="278">
        <f aca="true" t="shared" si="8" ref="E274:G275">E275</f>
        <v>1739</v>
      </c>
      <c r="F274" s="278">
        <f t="shared" si="8"/>
        <v>1739</v>
      </c>
      <c r="G274" s="285">
        <f t="shared" si="8"/>
        <v>1739</v>
      </c>
      <c r="H274" s="202"/>
    </row>
    <row r="275" spans="1:8" ht="30.75">
      <c r="A275" s="9" t="s">
        <v>136</v>
      </c>
      <c r="B275" s="10" t="s">
        <v>217</v>
      </c>
      <c r="C275" s="75"/>
      <c r="D275" s="11"/>
      <c r="E275" s="266">
        <f t="shared" si="8"/>
        <v>1739</v>
      </c>
      <c r="F275" s="266">
        <f t="shared" si="8"/>
        <v>1739</v>
      </c>
      <c r="G275" s="305">
        <f t="shared" si="8"/>
        <v>1739</v>
      </c>
      <c r="H275" s="202"/>
    </row>
    <row r="276" spans="1:8" ht="15">
      <c r="A276" s="16" t="s">
        <v>147</v>
      </c>
      <c r="B276" s="17" t="s">
        <v>217</v>
      </c>
      <c r="C276" s="17" t="s">
        <v>144</v>
      </c>
      <c r="D276" s="17" t="s">
        <v>35</v>
      </c>
      <c r="E276" s="336">
        <v>1739</v>
      </c>
      <c r="F276" s="336">
        <v>1739</v>
      </c>
      <c r="G276" s="337">
        <v>1739</v>
      </c>
      <c r="H276" s="202"/>
    </row>
    <row r="277" spans="1:8" ht="30.75">
      <c r="A277" s="130" t="s">
        <v>504</v>
      </c>
      <c r="B277" s="135" t="s">
        <v>502</v>
      </c>
      <c r="C277" s="135"/>
      <c r="D277" s="136"/>
      <c r="E277" s="278">
        <f>E280+E278</f>
        <v>1076</v>
      </c>
      <c r="F277" s="278">
        <f>F280+F278</f>
        <v>1076</v>
      </c>
      <c r="G277" s="285">
        <f>G280+G278</f>
        <v>1076</v>
      </c>
      <c r="H277" s="202"/>
    </row>
    <row r="278" spans="1:8" ht="18">
      <c r="A278" s="9" t="s">
        <v>509</v>
      </c>
      <c r="B278" s="10" t="s">
        <v>508</v>
      </c>
      <c r="C278" s="75"/>
      <c r="D278" s="11"/>
      <c r="E278" s="266">
        <f aca="true" t="shared" si="9" ref="E278:G280">E279</f>
        <v>740</v>
      </c>
      <c r="F278" s="266">
        <f t="shared" si="9"/>
        <v>740</v>
      </c>
      <c r="G278" s="305">
        <f t="shared" si="9"/>
        <v>740</v>
      </c>
      <c r="H278" s="202"/>
    </row>
    <row r="279" spans="1:8" ht="15">
      <c r="A279" s="16" t="s">
        <v>146</v>
      </c>
      <c r="B279" s="17" t="s">
        <v>508</v>
      </c>
      <c r="C279" s="17" t="s">
        <v>143</v>
      </c>
      <c r="D279" s="17" t="s">
        <v>188</v>
      </c>
      <c r="E279" s="336">
        <v>740</v>
      </c>
      <c r="F279" s="336">
        <v>740</v>
      </c>
      <c r="G279" s="337">
        <v>740</v>
      </c>
      <c r="H279" s="202"/>
    </row>
    <row r="280" spans="1:8" ht="18">
      <c r="A280" s="9" t="s">
        <v>505</v>
      </c>
      <c r="B280" s="10" t="s">
        <v>503</v>
      </c>
      <c r="C280" s="75"/>
      <c r="D280" s="11"/>
      <c r="E280" s="266">
        <f t="shared" si="9"/>
        <v>336</v>
      </c>
      <c r="F280" s="266">
        <f t="shared" si="9"/>
        <v>336</v>
      </c>
      <c r="G280" s="305">
        <f t="shared" si="9"/>
        <v>336</v>
      </c>
      <c r="H280" s="202"/>
    </row>
    <row r="281" spans="1:8" ht="15">
      <c r="A281" s="16" t="s">
        <v>146</v>
      </c>
      <c r="B281" s="17" t="s">
        <v>503</v>
      </c>
      <c r="C281" s="17" t="s">
        <v>143</v>
      </c>
      <c r="D281" s="17" t="s">
        <v>35</v>
      </c>
      <c r="E281" s="336">
        <v>336</v>
      </c>
      <c r="F281" s="336">
        <v>336</v>
      </c>
      <c r="G281" s="337">
        <v>336</v>
      </c>
      <c r="H281" s="202"/>
    </row>
    <row r="282" spans="1:8" ht="15.75">
      <c r="A282" s="78" t="s">
        <v>547</v>
      </c>
      <c r="B282" s="6" t="s">
        <v>544</v>
      </c>
      <c r="C282" s="6"/>
      <c r="D282" s="7"/>
      <c r="E282" s="345">
        <f>E289+E283+E286</f>
        <v>4740.6</v>
      </c>
      <c r="F282" s="345">
        <f>F289+F283+F286</f>
        <v>6484</v>
      </c>
      <c r="G282" s="345">
        <f>G289+G283+G286</f>
        <v>4486</v>
      </c>
      <c r="H282" s="202"/>
    </row>
    <row r="283" spans="1:8" ht="15.75">
      <c r="A283" s="130" t="s">
        <v>573</v>
      </c>
      <c r="B283" s="135" t="s">
        <v>572</v>
      </c>
      <c r="C283" s="135"/>
      <c r="D283" s="136"/>
      <c r="E283" s="278">
        <f aca="true" t="shared" si="10" ref="E283:G284">E284</f>
        <v>128.3</v>
      </c>
      <c r="F283" s="278">
        <f t="shared" si="10"/>
        <v>499.7</v>
      </c>
      <c r="G283" s="285">
        <f t="shared" si="10"/>
        <v>0</v>
      </c>
      <c r="H283" s="202"/>
    </row>
    <row r="284" spans="1:8" ht="30.75">
      <c r="A284" s="9" t="s">
        <v>574</v>
      </c>
      <c r="B284" s="10" t="s">
        <v>575</v>
      </c>
      <c r="C284" s="75"/>
      <c r="D284" s="11"/>
      <c r="E284" s="266">
        <f t="shared" si="10"/>
        <v>128.3</v>
      </c>
      <c r="F284" s="266">
        <f t="shared" si="10"/>
        <v>499.7</v>
      </c>
      <c r="G284" s="305">
        <f t="shared" si="10"/>
        <v>0</v>
      </c>
      <c r="H284" s="202"/>
    </row>
    <row r="285" spans="1:8" ht="15">
      <c r="A285" s="16" t="s">
        <v>146</v>
      </c>
      <c r="B285" s="17" t="s">
        <v>575</v>
      </c>
      <c r="C285" s="17" t="s">
        <v>143</v>
      </c>
      <c r="D285" s="17" t="s">
        <v>44</v>
      </c>
      <c r="E285" s="336">
        <f>10.1+104.9+13.3</f>
        <v>128.3</v>
      </c>
      <c r="F285" s="336">
        <f>55+444.7</f>
        <v>499.7</v>
      </c>
      <c r="G285" s="337">
        <v>0</v>
      </c>
      <c r="H285" s="202"/>
    </row>
    <row r="286" spans="1:8" ht="45.75">
      <c r="A286" s="130" t="s">
        <v>578</v>
      </c>
      <c r="B286" s="135" t="s">
        <v>576</v>
      </c>
      <c r="C286" s="135"/>
      <c r="D286" s="136"/>
      <c r="E286" s="278">
        <f aca="true" t="shared" si="11" ref="E286:G287">E287</f>
        <v>112.3</v>
      </c>
      <c r="F286" s="278">
        <f t="shared" si="11"/>
        <v>1548.3</v>
      </c>
      <c r="G286" s="285">
        <f t="shared" si="11"/>
        <v>0</v>
      </c>
      <c r="H286" s="202"/>
    </row>
    <row r="287" spans="1:8" ht="18">
      <c r="A287" s="9" t="s">
        <v>579</v>
      </c>
      <c r="B287" s="10" t="s">
        <v>577</v>
      </c>
      <c r="C287" s="75"/>
      <c r="D287" s="11"/>
      <c r="E287" s="266">
        <f t="shared" si="11"/>
        <v>112.3</v>
      </c>
      <c r="F287" s="266">
        <f t="shared" si="11"/>
        <v>1548.3</v>
      </c>
      <c r="G287" s="305">
        <f t="shared" si="11"/>
        <v>0</v>
      </c>
      <c r="H287" s="202"/>
    </row>
    <row r="288" spans="1:8" ht="15">
      <c r="A288" s="16" t="s">
        <v>146</v>
      </c>
      <c r="B288" s="17" t="s">
        <v>577</v>
      </c>
      <c r="C288" s="17" t="s">
        <v>143</v>
      </c>
      <c r="D288" s="17" t="s">
        <v>44</v>
      </c>
      <c r="E288" s="336">
        <f>4.9-1.4+108.8</f>
        <v>112.3</v>
      </c>
      <c r="F288" s="336">
        <f>170.3+1378</f>
        <v>1548.3</v>
      </c>
      <c r="G288" s="337">
        <v>0</v>
      </c>
      <c r="H288" s="202"/>
    </row>
    <row r="289" spans="1:8" ht="15.75">
      <c r="A289" s="130" t="s">
        <v>548</v>
      </c>
      <c r="B289" s="135" t="s">
        <v>545</v>
      </c>
      <c r="C289" s="135"/>
      <c r="D289" s="136"/>
      <c r="E289" s="278">
        <f aca="true" t="shared" si="12" ref="E289:G290">E290</f>
        <v>4500</v>
      </c>
      <c r="F289" s="278">
        <f t="shared" si="12"/>
        <v>4436</v>
      </c>
      <c r="G289" s="285">
        <f t="shared" si="12"/>
        <v>4486</v>
      </c>
      <c r="H289" s="202"/>
    </row>
    <row r="290" spans="1:8" ht="18">
      <c r="A290" s="9" t="s">
        <v>276</v>
      </c>
      <c r="B290" s="10" t="s">
        <v>546</v>
      </c>
      <c r="C290" s="75"/>
      <c r="D290" s="11"/>
      <c r="E290" s="266">
        <f t="shared" si="12"/>
        <v>4500</v>
      </c>
      <c r="F290" s="266">
        <f t="shared" si="12"/>
        <v>4436</v>
      </c>
      <c r="G290" s="305">
        <f t="shared" si="12"/>
        <v>4486</v>
      </c>
      <c r="H290" s="202"/>
    </row>
    <row r="291" spans="1:8" ht="15">
      <c r="A291" s="16" t="s">
        <v>147</v>
      </c>
      <c r="B291" s="17" t="s">
        <v>546</v>
      </c>
      <c r="C291" s="17" t="s">
        <v>144</v>
      </c>
      <c r="D291" s="17" t="s">
        <v>35</v>
      </c>
      <c r="E291" s="336">
        <v>4500</v>
      </c>
      <c r="F291" s="336">
        <v>4436</v>
      </c>
      <c r="G291" s="337">
        <v>4486</v>
      </c>
      <c r="H291" s="202"/>
    </row>
    <row r="292" spans="1:7" ht="37.5" customHeight="1">
      <c r="A292" s="51" t="s">
        <v>523</v>
      </c>
      <c r="B292" s="52" t="s">
        <v>241</v>
      </c>
      <c r="C292" s="52"/>
      <c r="D292" s="53"/>
      <c r="E292" s="281">
        <f>E293+E345</f>
        <v>110291.6</v>
      </c>
      <c r="F292" s="281">
        <f>F293+F345</f>
        <v>94016.3</v>
      </c>
      <c r="G292" s="281">
        <f>G293+G345</f>
        <v>94023.90000000001</v>
      </c>
    </row>
    <row r="293" spans="1:7" ht="32.25" customHeight="1">
      <c r="A293" s="54" t="s">
        <v>222</v>
      </c>
      <c r="B293" s="55" t="s">
        <v>242</v>
      </c>
      <c r="C293" s="56"/>
      <c r="D293" s="55"/>
      <c r="E293" s="346">
        <f>E294+E297+E300+E313+E316+E328+E331+E334+E337+E340</f>
        <v>101948.6</v>
      </c>
      <c r="F293" s="346">
        <f>F294+F297+F300+F313+F316+F328+F331+F334+F337+F340</f>
        <v>94016.3</v>
      </c>
      <c r="G293" s="347">
        <f>G294+G297+G300+G313+G316+G328+G331+G334+G337+G340</f>
        <v>94023.90000000001</v>
      </c>
    </row>
    <row r="294" spans="1:8" ht="15.75">
      <c r="A294" s="130" t="s">
        <v>223</v>
      </c>
      <c r="B294" s="135" t="s">
        <v>243</v>
      </c>
      <c r="C294" s="135"/>
      <c r="D294" s="136"/>
      <c r="E294" s="278">
        <f>E295</f>
        <v>509.3</v>
      </c>
      <c r="F294" s="278">
        <f>F295</f>
        <v>509.3</v>
      </c>
      <c r="G294" s="285">
        <f>G295</f>
        <v>509.3</v>
      </c>
      <c r="H294" s="202"/>
    </row>
    <row r="295" spans="1:8" ht="18" customHeight="1">
      <c r="A295" s="9" t="s">
        <v>88</v>
      </c>
      <c r="B295" s="10" t="s">
        <v>244</v>
      </c>
      <c r="C295" s="150"/>
      <c r="D295" s="10"/>
      <c r="E295" s="348">
        <f>SUM(E296:E296)</f>
        <v>509.3</v>
      </c>
      <c r="F295" s="348">
        <f>SUM(F296:F296)</f>
        <v>509.3</v>
      </c>
      <c r="G295" s="349">
        <f>SUM(G296:G296)</f>
        <v>509.3</v>
      </c>
      <c r="H295" s="202"/>
    </row>
    <row r="296" spans="1:8" ht="15">
      <c r="A296" s="16" t="s">
        <v>146</v>
      </c>
      <c r="B296" s="17" t="s">
        <v>245</v>
      </c>
      <c r="C296" s="17" t="s">
        <v>143</v>
      </c>
      <c r="D296" s="17" t="s">
        <v>28</v>
      </c>
      <c r="E296" s="336">
        <v>509.3</v>
      </c>
      <c r="F296" s="336">
        <v>509.3</v>
      </c>
      <c r="G296" s="337">
        <v>509.3</v>
      </c>
      <c r="H296" s="202"/>
    </row>
    <row r="297" spans="1:8" ht="30.75">
      <c r="A297" s="140" t="s">
        <v>224</v>
      </c>
      <c r="B297" s="141" t="s">
        <v>246</v>
      </c>
      <c r="C297" s="141"/>
      <c r="D297" s="142"/>
      <c r="E297" s="350">
        <f aca="true" t="shared" si="13" ref="E297:G298">E298</f>
        <v>330</v>
      </c>
      <c r="F297" s="350">
        <f t="shared" si="13"/>
        <v>330</v>
      </c>
      <c r="G297" s="351">
        <f t="shared" si="13"/>
        <v>330</v>
      </c>
      <c r="H297" s="202"/>
    </row>
    <row r="298" spans="1:8" ht="30.75">
      <c r="A298" s="224" t="s">
        <v>225</v>
      </c>
      <c r="B298" s="102" t="s">
        <v>247</v>
      </c>
      <c r="C298" s="114"/>
      <c r="D298" s="63"/>
      <c r="E298" s="352">
        <f>E299</f>
        <v>330</v>
      </c>
      <c r="F298" s="352">
        <f t="shared" si="13"/>
        <v>330</v>
      </c>
      <c r="G298" s="352">
        <f t="shared" si="13"/>
        <v>330</v>
      </c>
      <c r="H298" s="202"/>
    </row>
    <row r="299" spans="1:8" ht="15">
      <c r="A299" s="16" t="s">
        <v>146</v>
      </c>
      <c r="B299" s="95" t="s">
        <v>247</v>
      </c>
      <c r="C299" s="95" t="s">
        <v>143</v>
      </c>
      <c r="D299" s="17" t="s">
        <v>28</v>
      </c>
      <c r="E299" s="353">
        <v>330</v>
      </c>
      <c r="F299" s="353">
        <v>330</v>
      </c>
      <c r="G299" s="354">
        <v>330</v>
      </c>
      <c r="H299" s="202"/>
    </row>
    <row r="300" spans="1:8" ht="30.75">
      <c r="A300" s="140" t="s">
        <v>226</v>
      </c>
      <c r="B300" s="141" t="s">
        <v>248</v>
      </c>
      <c r="C300" s="141"/>
      <c r="D300" s="142"/>
      <c r="E300" s="350">
        <f>E301+E303+E305+E307+E311+E309</f>
        <v>15948.000000000002</v>
      </c>
      <c r="F300" s="350">
        <f>F301+F303+F305+F307+F311+F309</f>
        <v>9663.1</v>
      </c>
      <c r="G300" s="351">
        <f>G301+G303+G305+G307+G311+G309</f>
        <v>9663.1</v>
      </c>
      <c r="H300" s="202"/>
    </row>
    <row r="301" spans="1:8" ht="15.75">
      <c r="A301" s="234" t="s">
        <v>252</v>
      </c>
      <c r="B301" s="122" t="s">
        <v>253</v>
      </c>
      <c r="C301" s="115"/>
      <c r="D301" s="121"/>
      <c r="E301" s="355">
        <f>E302</f>
        <v>7637.200000000001</v>
      </c>
      <c r="F301" s="355">
        <f>F302</f>
        <v>7501.9</v>
      </c>
      <c r="G301" s="356">
        <f>G302</f>
        <v>7501.9</v>
      </c>
      <c r="H301" s="202"/>
    </row>
    <row r="302" spans="1:8" ht="15">
      <c r="A302" s="113" t="s">
        <v>155</v>
      </c>
      <c r="B302" s="112" t="s">
        <v>253</v>
      </c>
      <c r="C302" s="112" t="s">
        <v>154</v>
      </c>
      <c r="D302" s="120" t="s">
        <v>28</v>
      </c>
      <c r="E302" s="357">
        <f>3953.3+3683.9</f>
        <v>7637.200000000001</v>
      </c>
      <c r="F302" s="357">
        <f>3953.3+3947.2-398.6</f>
        <v>7501.9</v>
      </c>
      <c r="G302" s="357">
        <f>3953.3+3947.2-398.6</f>
        <v>7501.9</v>
      </c>
      <c r="H302" s="202"/>
    </row>
    <row r="303" spans="1:8" ht="15.75">
      <c r="A303" s="234" t="s">
        <v>227</v>
      </c>
      <c r="B303" s="122" t="s">
        <v>249</v>
      </c>
      <c r="C303" s="115"/>
      <c r="D303" s="121"/>
      <c r="E303" s="358">
        <f>E304</f>
        <v>645</v>
      </c>
      <c r="F303" s="358">
        <f>F304</f>
        <v>645</v>
      </c>
      <c r="G303" s="359">
        <f>G304</f>
        <v>645</v>
      </c>
      <c r="H303" s="202"/>
    </row>
    <row r="304" spans="1:8" ht="15">
      <c r="A304" s="16" t="s">
        <v>146</v>
      </c>
      <c r="B304" s="17" t="s">
        <v>249</v>
      </c>
      <c r="C304" s="18" t="s">
        <v>143</v>
      </c>
      <c r="D304" s="17" t="s">
        <v>28</v>
      </c>
      <c r="E304" s="360">
        <v>645</v>
      </c>
      <c r="F304" s="360">
        <v>645</v>
      </c>
      <c r="G304" s="361">
        <v>645</v>
      </c>
      <c r="H304" s="202"/>
    </row>
    <row r="305" spans="1:8" ht="15.75">
      <c r="A305" s="235" t="s">
        <v>228</v>
      </c>
      <c r="B305" s="123" t="s">
        <v>250</v>
      </c>
      <c r="C305" s="119"/>
      <c r="D305" s="87"/>
      <c r="E305" s="358">
        <f>E306</f>
        <v>20</v>
      </c>
      <c r="F305" s="358">
        <f>F306</f>
        <v>20</v>
      </c>
      <c r="G305" s="359">
        <f>G306</f>
        <v>20</v>
      </c>
      <c r="H305" s="202"/>
    </row>
    <row r="306" spans="1:8" ht="15">
      <c r="A306" s="16" t="s">
        <v>146</v>
      </c>
      <c r="B306" s="17" t="s">
        <v>250</v>
      </c>
      <c r="C306" s="17" t="s">
        <v>143</v>
      </c>
      <c r="D306" s="17" t="s">
        <v>28</v>
      </c>
      <c r="E306" s="360">
        <v>20</v>
      </c>
      <c r="F306" s="360">
        <v>20</v>
      </c>
      <c r="G306" s="361">
        <v>20</v>
      </c>
      <c r="H306" s="202"/>
    </row>
    <row r="307" spans="1:8" ht="15.75">
      <c r="A307" s="235" t="s">
        <v>229</v>
      </c>
      <c r="B307" s="123" t="s">
        <v>251</v>
      </c>
      <c r="C307" s="119"/>
      <c r="D307" s="87"/>
      <c r="E307" s="358">
        <f>E308</f>
        <v>85</v>
      </c>
      <c r="F307" s="358">
        <f>F308</f>
        <v>85</v>
      </c>
      <c r="G307" s="359">
        <f>G308</f>
        <v>85</v>
      </c>
      <c r="H307" s="202"/>
    </row>
    <row r="308" spans="1:8" ht="15">
      <c r="A308" s="16" t="s">
        <v>146</v>
      </c>
      <c r="B308" s="17" t="s">
        <v>251</v>
      </c>
      <c r="C308" s="17" t="s">
        <v>143</v>
      </c>
      <c r="D308" s="17" t="s">
        <v>28</v>
      </c>
      <c r="E308" s="360">
        <v>85</v>
      </c>
      <c r="F308" s="360">
        <v>85</v>
      </c>
      <c r="G308" s="361">
        <v>85</v>
      </c>
      <c r="H308" s="202"/>
    </row>
    <row r="309" spans="1:8" ht="15.75">
      <c r="A309" s="234" t="s">
        <v>182</v>
      </c>
      <c r="B309" s="123" t="s">
        <v>517</v>
      </c>
      <c r="C309" s="114"/>
      <c r="D309" s="109"/>
      <c r="E309" s="358">
        <f>E310</f>
        <v>2005.2</v>
      </c>
      <c r="F309" s="358">
        <f>F310</f>
        <v>1411.2</v>
      </c>
      <c r="G309" s="359">
        <f>G310</f>
        <v>1411.2</v>
      </c>
      <c r="H309" s="202"/>
    </row>
    <row r="310" spans="1:8" ht="15">
      <c r="A310" s="44" t="s">
        <v>155</v>
      </c>
      <c r="B310" s="101" t="s">
        <v>517</v>
      </c>
      <c r="C310" s="18" t="s">
        <v>154</v>
      </c>
      <c r="D310" s="18" t="s">
        <v>28</v>
      </c>
      <c r="E310" s="357">
        <f>1411.2+712.8-118.8</f>
        <v>2005.2</v>
      </c>
      <c r="F310" s="360">
        <v>1411.2</v>
      </c>
      <c r="G310" s="361">
        <v>1411.2</v>
      </c>
      <c r="H310" s="202"/>
    </row>
    <row r="311" spans="1:8" ht="15.75">
      <c r="A311" s="400" t="s">
        <v>630</v>
      </c>
      <c r="B311" s="123" t="s">
        <v>510</v>
      </c>
      <c r="C311" s="114"/>
      <c r="D311" s="109"/>
      <c r="E311" s="358">
        <f>E312</f>
        <v>5555.6</v>
      </c>
      <c r="F311" s="358">
        <f>F312</f>
        <v>0</v>
      </c>
      <c r="G311" s="359">
        <f>G312</f>
        <v>0</v>
      </c>
      <c r="H311" s="202"/>
    </row>
    <row r="312" spans="1:8" ht="15">
      <c r="A312" s="44" t="s">
        <v>155</v>
      </c>
      <c r="B312" s="101" t="s">
        <v>510</v>
      </c>
      <c r="C312" s="18" t="s">
        <v>154</v>
      </c>
      <c r="D312" s="18" t="s">
        <v>28</v>
      </c>
      <c r="E312" s="360">
        <f>555.6+5000</f>
        <v>5555.6</v>
      </c>
      <c r="F312" s="360">
        <v>0</v>
      </c>
      <c r="G312" s="361">
        <v>0</v>
      </c>
      <c r="H312" s="202"/>
    </row>
    <row r="313" spans="1:8" ht="29.25" customHeight="1">
      <c r="A313" s="130" t="s">
        <v>230</v>
      </c>
      <c r="B313" s="135" t="s">
        <v>254</v>
      </c>
      <c r="C313" s="135"/>
      <c r="D313" s="136"/>
      <c r="E313" s="278">
        <f aca="true" t="shared" si="14" ref="E313:G314">E314</f>
        <v>1196.6</v>
      </c>
      <c r="F313" s="278">
        <f t="shared" si="14"/>
        <v>1196.6</v>
      </c>
      <c r="G313" s="285">
        <f t="shared" si="14"/>
        <v>1196.6</v>
      </c>
      <c r="H313" s="202"/>
    </row>
    <row r="314" spans="1:8" ht="16.5" customHeight="1">
      <c r="A314" s="57" t="s">
        <v>176</v>
      </c>
      <c r="B314" s="86" t="s">
        <v>255</v>
      </c>
      <c r="C314" s="59"/>
      <c r="D314" s="58"/>
      <c r="E314" s="362">
        <f t="shared" si="14"/>
        <v>1196.6</v>
      </c>
      <c r="F314" s="362">
        <f t="shared" si="14"/>
        <v>1196.6</v>
      </c>
      <c r="G314" s="363">
        <f t="shared" si="14"/>
        <v>1196.6</v>
      </c>
      <c r="H314" s="202"/>
    </row>
    <row r="315" spans="1:8" ht="15">
      <c r="A315" s="44" t="s">
        <v>155</v>
      </c>
      <c r="B315" s="111" t="s">
        <v>255</v>
      </c>
      <c r="C315" s="111" t="s">
        <v>154</v>
      </c>
      <c r="D315" s="111" t="s">
        <v>29</v>
      </c>
      <c r="E315" s="274">
        <f>956+240.6</f>
        <v>1196.6</v>
      </c>
      <c r="F315" s="274">
        <f>956+240.6</f>
        <v>1196.6</v>
      </c>
      <c r="G315" s="274">
        <f>956+240.6</f>
        <v>1196.6</v>
      </c>
      <c r="H315" s="202"/>
    </row>
    <row r="316" spans="1:8" ht="30.75">
      <c r="A316" s="140" t="s">
        <v>231</v>
      </c>
      <c r="B316" s="141" t="s">
        <v>256</v>
      </c>
      <c r="C316" s="141"/>
      <c r="D316" s="142"/>
      <c r="E316" s="350">
        <f>E317+E319+E321+E326+E324</f>
        <v>12194.2</v>
      </c>
      <c r="F316" s="350">
        <f>F317+F319+F321+F326</f>
        <v>11030.999999999998</v>
      </c>
      <c r="G316" s="350">
        <f>G317+G319+G321+G326</f>
        <v>11038.599999999999</v>
      </c>
      <c r="H316" s="202"/>
    </row>
    <row r="317" spans="1:8" ht="15.75">
      <c r="A317" s="234" t="s">
        <v>252</v>
      </c>
      <c r="B317" s="98" t="s">
        <v>257</v>
      </c>
      <c r="C317" s="96"/>
      <c r="D317" s="60"/>
      <c r="E317" s="358">
        <f>E318</f>
        <v>8558.9</v>
      </c>
      <c r="F317" s="358">
        <f>F318</f>
        <v>8558.9</v>
      </c>
      <c r="G317" s="359">
        <f>G318</f>
        <v>8558.9</v>
      </c>
      <c r="H317" s="202"/>
    </row>
    <row r="318" spans="1:8" ht="15">
      <c r="A318" s="113" t="s">
        <v>155</v>
      </c>
      <c r="B318" s="112" t="s">
        <v>257</v>
      </c>
      <c r="C318" s="112" t="s">
        <v>154</v>
      </c>
      <c r="D318" s="120" t="s">
        <v>141</v>
      </c>
      <c r="E318" s="360">
        <v>8558.9</v>
      </c>
      <c r="F318" s="360">
        <v>8558.9</v>
      </c>
      <c r="G318" s="361">
        <v>8558.9</v>
      </c>
      <c r="H318" s="202"/>
    </row>
    <row r="319" spans="1:8" ht="30.75">
      <c r="A319" s="57" t="s">
        <v>123</v>
      </c>
      <c r="B319" s="125" t="s">
        <v>258</v>
      </c>
      <c r="C319" s="124"/>
      <c r="D319" s="125"/>
      <c r="E319" s="364">
        <f>E320</f>
        <v>403.7</v>
      </c>
      <c r="F319" s="364">
        <f>F320</f>
        <v>272.5</v>
      </c>
      <c r="G319" s="365">
        <f>G320</f>
        <v>272.5</v>
      </c>
      <c r="H319" s="202"/>
    </row>
    <row r="320" spans="1:8" ht="15">
      <c r="A320" s="113" t="s">
        <v>155</v>
      </c>
      <c r="B320" s="112" t="s">
        <v>258</v>
      </c>
      <c r="C320" s="112" t="s">
        <v>154</v>
      </c>
      <c r="D320" s="120" t="s">
        <v>15</v>
      </c>
      <c r="E320" s="360">
        <f>272.5+105.2+26</f>
        <v>403.7</v>
      </c>
      <c r="F320" s="360">
        <v>272.5</v>
      </c>
      <c r="G320" s="361">
        <v>272.5</v>
      </c>
      <c r="H320" s="202"/>
    </row>
    <row r="321" spans="1:8" ht="45.75">
      <c r="A321" s="134" t="s">
        <v>232</v>
      </c>
      <c r="B321" s="125" t="s">
        <v>259</v>
      </c>
      <c r="C321" s="151"/>
      <c r="D321" s="151"/>
      <c r="E321" s="328">
        <f>E322+E323</f>
        <v>1450.8</v>
      </c>
      <c r="F321" s="328">
        <f>F322+F323</f>
        <v>1526.3</v>
      </c>
      <c r="G321" s="329">
        <f>G322+G323</f>
        <v>1526.3</v>
      </c>
      <c r="H321" s="202"/>
    </row>
    <row r="322" spans="1:8" ht="18" customHeight="1">
      <c r="A322" s="126" t="s">
        <v>146</v>
      </c>
      <c r="B322" s="127" t="s">
        <v>259</v>
      </c>
      <c r="C322" s="127" t="s">
        <v>143</v>
      </c>
      <c r="D322" s="127" t="s">
        <v>15</v>
      </c>
      <c r="E322" s="271">
        <f>1400.8-156.6</f>
        <v>1244.2</v>
      </c>
      <c r="F322" s="271">
        <v>1526.3</v>
      </c>
      <c r="G322" s="272">
        <v>1526.3</v>
      </c>
      <c r="H322" s="202"/>
    </row>
    <row r="323" spans="1:8" ht="18" customHeight="1">
      <c r="A323" s="236" t="s">
        <v>155</v>
      </c>
      <c r="B323" s="111" t="s">
        <v>259</v>
      </c>
      <c r="C323" s="111" t="s">
        <v>154</v>
      </c>
      <c r="D323" s="111" t="s">
        <v>15</v>
      </c>
      <c r="E323" s="274">
        <f>50+156.6</f>
        <v>206.6</v>
      </c>
      <c r="F323" s="274">
        <v>0</v>
      </c>
      <c r="G323" s="320">
        <v>0</v>
      </c>
      <c r="H323" s="202"/>
    </row>
    <row r="324" spans="1:8" ht="18" customHeight="1">
      <c r="A324" s="134" t="s">
        <v>665</v>
      </c>
      <c r="B324" s="125" t="s">
        <v>664</v>
      </c>
      <c r="C324" s="151"/>
      <c r="D324" s="151"/>
      <c r="E324" s="328">
        <f>E325</f>
        <v>1089.7</v>
      </c>
      <c r="F324" s="328">
        <f>F325</f>
        <v>0</v>
      </c>
      <c r="G324" s="328">
        <f>G325</f>
        <v>0</v>
      </c>
      <c r="H324" s="202"/>
    </row>
    <row r="325" spans="1:8" ht="18" customHeight="1">
      <c r="A325" s="236" t="s">
        <v>155</v>
      </c>
      <c r="B325" s="127" t="s">
        <v>664</v>
      </c>
      <c r="C325" s="127" t="s">
        <v>154</v>
      </c>
      <c r="D325" s="127" t="s">
        <v>141</v>
      </c>
      <c r="E325" s="271">
        <v>1089.7</v>
      </c>
      <c r="F325" s="271">
        <v>0</v>
      </c>
      <c r="G325" s="272">
        <v>0</v>
      </c>
      <c r="H325" s="202"/>
    </row>
    <row r="326" spans="1:8" ht="30.75">
      <c r="A326" s="234" t="s">
        <v>239</v>
      </c>
      <c r="B326" s="123" t="s">
        <v>566</v>
      </c>
      <c r="C326" s="114"/>
      <c r="D326" s="109"/>
      <c r="E326" s="358">
        <f>E327</f>
        <v>691.1</v>
      </c>
      <c r="F326" s="358">
        <f>F327</f>
        <v>673.3000000000001</v>
      </c>
      <c r="G326" s="358">
        <f>G327</f>
        <v>680.9000000000001</v>
      </c>
      <c r="H326" s="202"/>
    </row>
    <row r="327" spans="1:8" ht="18" customHeight="1">
      <c r="A327" s="44" t="s">
        <v>155</v>
      </c>
      <c r="B327" s="101" t="s">
        <v>566</v>
      </c>
      <c r="C327" s="18" t="s">
        <v>154</v>
      </c>
      <c r="D327" s="18" t="s">
        <v>240</v>
      </c>
      <c r="E327" s="360">
        <f>69.1+622</f>
        <v>691.1</v>
      </c>
      <c r="F327" s="360">
        <f>74.1+599.2</f>
        <v>673.3000000000001</v>
      </c>
      <c r="G327" s="361">
        <f>81.7+599.2</f>
        <v>680.9000000000001</v>
      </c>
      <c r="H327" s="202"/>
    </row>
    <row r="328" spans="1:8" ht="15.75">
      <c r="A328" s="130" t="s">
        <v>233</v>
      </c>
      <c r="B328" s="135" t="s">
        <v>260</v>
      </c>
      <c r="C328" s="135"/>
      <c r="D328" s="136"/>
      <c r="E328" s="278">
        <f aca="true" t="shared" si="15" ref="E328:G329">E329</f>
        <v>224.9</v>
      </c>
      <c r="F328" s="278">
        <f t="shared" si="15"/>
        <v>149.4</v>
      </c>
      <c r="G328" s="285">
        <f t="shared" si="15"/>
        <v>149.4</v>
      </c>
      <c r="H328" s="202"/>
    </row>
    <row r="329" spans="1:8" ht="30.75">
      <c r="A329" s="57" t="s">
        <v>234</v>
      </c>
      <c r="B329" s="58" t="s">
        <v>261</v>
      </c>
      <c r="C329" s="59"/>
      <c r="D329" s="58"/>
      <c r="E329" s="348">
        <f t="shared" si="15"/>
        <v>224.9</v>
      </c>
      <c r="F329" s="348">
        <f t="shared" si="15"/>
        <v>149.4</v>
      </c>
      <c r="G329" s="349">
        <f t="shared" si="15"/>
        <v>149.4</v>
      </c>
      <c r="H329" s="202"/>
    </row>
    <row r="330" spans="1:8" ht="15">
      <c r="A330" s="211" t="s">
        <v>146</v>
      </c>
      <c r="B330" s="111" t="s">
        <v>261</v>
      </c>
      <c r="C330" s="111" t="s">
        <v>143</v>
      </c>
      <c r="D330" s="111" t="s">
        <v>15</v>
      </c>
      <c r="E330" s="274">
        <v>224.9</v>
      </c>
      <c r="F330" s="274">
        <v>149.4</v>
      </c>
      <c r="G330" s="320">
        <v>149.4</v>
      </c>
      <c r="H330" s="202"/>
    </row>
    <row r="331" spans="1:8" ht="30.75">
      <c r="A331" s="130" t="s">
        <v>235</v>
      </c>
      <c r="B331" s="135" t="s">
        <v>262</v>
      </c>
      <c r="C331" s="135"/>
      <c r="D331" s="136"/>
      <c r="E331" s="278">
        <f aca="true" t="shared" si="16" ref="E331:G332">E332</f>
        <v>58.8</v>
      </c>
      <c r="F331" s="278">
        <f t="shared" si="16"/>
        <v>176.4</v>
      </c>
      <c r="G331" s="285">
        <f t="shared" si="16"/>
        <v>176.4</v>
      </c>
      <c r="H331" s="202"/>
    </row>
    <row r="332" spans="1:8" ht="30.75">
      <c r="A332" s="57" t="s">
        <v>86</v>
      </c>
      <c r="B332" s="58" t="s">
        <v>263</v>
      </c>
      <c r="C332" s="59"/>
      <c r="D332" s="58"/>
      <c r="E332" s="348">
        <f t="shared" si="16"/>
        <v>58.8</v>
      </c>
      <c r="F332" s="348">
        <f t="shared" si="16"/>
        <v>176.4</v>
      </c>
      <c r="G332" s="349">
        <f t="shared" si="16"/>
        <v>176.4</v>
      </c>
      <c r="H332" s="202"/>
    </row>
    <row r="333" spans="1:8" ht="15">
      <c r="A333" s="233" t="s">
        <v>146</v>
      </c>
      <c r="B333" s="62" t="s">
        <v>263</v>
      </c>
      <c r="C333" s="62" t="s">
        <v>143</v>
      </c>
      <c r="D333" s="62" t="s">
        <v>15</v>
      </c>
      <c r="E333" s="353">
        <v>58.8</v>
      </c>
      <c r="F333" s="353">
        <v>176.4</v>
      </c>
      <c r="G333" s="354">
        <v>176.4</v>
      </c>
      <c r="H333" s="202"/>
    </row>
    <row r="334" spans="1:8" ht="15.75">
      <c r="A334" s="130" t="s">
        <v>236</v>
      </c>
      <c r="B334" s="135" t="s">
        <v>264</v>
      </c>
      <c r="C334" s="135"/>
      <c r="D334" s="136"/>
      <c r="E334" s="278">
        <f aca="true" t="shared" si="17" ref="E334:G335">E335</f>
        <v>105.4</v>
      </c>
      <c r="F334" s="278">
        <f t="shared" si="17"/>
        <v>105.4</v>
      </c>
      <c r="G334" s="285">
        <f t="shared" si="17"/>
        <v>105.4</v>
      </c>
      <c r="H334" s="202"/>
    </row>
    <row r="335" spans="1:8" ht="15.75">
      <c r="A335" s="57" t="s">
        <v>172</v>
      </c>
      <c r="B335" s="58" t="s">
        <v>265</v>
      </c>
      <c r="C335" s="59"/>
      <c r="D335" s="58"/>
      <c r="E335" s="348">
        <f t="shared" si="17"/>
        <v>105.4</v>
      </c>
      <c r="F335" s="348">
        <f t="shared" si="17"/>
        <v>105.4</v>
      </c>
      <c r="G335" s="349">
        <f t="shared" si="17"/>
        <v>105.4</v>
      </c>
      <c r="H335" s="202"/>
    </row>
    <row r="336" spans="1:8" ht="15">
      <c r="A336" s="233" t="s">
        <v>146</v>
      </c>
      <c r="B336" s="62" t="s">
        <v>265</v>
      </c>
      <c r="C336" s="62" t="s">
        <v>143</v>
      </c>
      <c r="D336" s="62" t="s">
        <v>15</v>
      </c>
      <c r="E336" s="353">
        <v>105.4</v>
      </c>
      <c r="F336" s="353">
        <v>105.4</v>
      </c>
      <c r="G336" s="354">
        <v>105.4</v>
      </c>
      <c r="H336" s="202"/>
    </row>
    <row r="337" spans="1:8" ht="30.75">
      <c r="A337" s="130" t="s">
        <v>237</v>
      </c>
      <c r="B337" s="135" t="s">
        <v>266</v>
      </c>
      <c r="C337" s="135"/>
      <c r="D337" s="136"/>
      <c r="E337" s="278">
        <f>E338</f>
        <v>154.8</v>
      </c>
      <c r="F337" s="278">
        <f>F338</f>
        <v>154.8</v>
      </c>
      <c r="G337" s="285">
        <f>G338</f>
        <v>154.8</v>
      </c>
      <c r="H337" s="202"/>
    </row>
    <row r="338" spans="1:8" ht="30.75">
      <c r="A338" s="57" t="s">
        <v>87</v>
      </c>
      <c r="B338" s="58" t="s">
        <v>267</v>
      </c>
      <c r="C338" s="59"/>
      <c r="D338" s="58"/>
      <c r="E338" s="362">
        <f>SUM(E339:E339)</f>
        <v>154.8</v>
      </c>
      <c r="F338" s="362">
        <f>SUM(F339:F339)</f>
        <v>154.8</v>
      </c>
      <c r="G338" s="363">
        <f>SUM(G339:G339)</f>
        <v>154.8</v>
      </c>
      <c r="H338" s="202"/>
    </row>
    <row r="339" spans="1:8" ht="15">
      <c r="A339" s="211" t="s">
        <v>146</v>
      </c>
      <c r="B339" s="111" t="s">
        <v>267</v>
      </c>
      <c r="C339" s="111" t="s">
        <v>143</v>
      </c>
      <c r="D339" s="111" t="s">
        <v>15</v>
      </c>
      <c r="E339" s="274">
        <v>154.8</v>
      </c>
      <c r="F339" s="274">
        <v>154.8</v>
      </c>
      <c r="G339" s="320">
        <v>154.8</v>
      </c>
      <c r="H339" s="202"/>
    </row>
    <row r="340" spans="1:8" ht="30.75">
      <c r="A340" s="140" t="s">
        <v>238</v>
      </c>
      <c r="B340" s="141" t="s">
        <v>268</v>
      </c>
      <c r="C340" s="141"/>
      <c r="D340" s="142"/>
      <c r="E340" s="350">
        <f>E341+E343</f>
        <v>71226.6</v>
      </c>
      <c r="F340" s="350">
        <f>F341+F343</f>
        <v>70700.3</v>
      </c>
      <c r="G340" s="350">
        <f>G341+G343</f>
        <v>70700.3</v>
      </c>
      <c r="H340" s="202"/>
    </row>
    <row r="341" spans="1:8" ht="15.75">
      <c r="A341" s="234" t="s">
        <v>252</v>
      </c>
      <c r="B341" s="100" t="s">
        <v>269</v>
      </c>
      <c r="C341" s="117"/>
      <c r="D341" s="118"/>
      <c r="E341" s="366">
        <f>E342</f>
        <v>70700.3</v>
      </c>
      <c r="F341" s="366">
        <f>F342</f>
        <v>70700.3</v>
      </c>
      <c r="G341" s="367">
        <f>G342</f>
        <v>70700.3</v>
      </c>
      <c r="H341" s="202"/>
    </row>
    <row r="342" spans="1:8" ht="15">
      <c r="A342" s="236" t="s">
        <v>155</v>
      </c>
      <c r="B342" s="101" t="s">
        <v>269</v>
      </c>
      <c r="C342" s="101" t="s">
        <v>154</v>
      </c>
      <c r="D342" s="101" t="s">
        <v>15</v>
      </c>
      <c r="E342" s="274">
        <v>70700.3</v>
      </c>
      <c r="F342" s="274">
        <v>70700.3</v>
      </c>
      <c r="G342" s="320">
        <v>70700.3</v>
      </c>
      <c r="H342" s="202"/>
    </row>
    <row r="343" spans="1:8" ht="15.75">
      <c r="A343" s="234" t="s">
        <v>180</v>
      </c>
      <c r="B343" s="123" t="s">
        <v>562</v>
      </c>
      <c r="C343" s="114"/>
      <c r="D343" s="109"/>
      <c r="E343" s="358">
        <f>E344</f>
        <v>526.3</v>
      </c>
      <c r="F343" s="358">
        <f>F344</f>
        <v>0</v>
      </c>
      <c r="G343" s="358">
        <f>G344</f>
        <v>0</v>
      </c>
      <c r="H343" s="202"/>
    </row>
    <row r="344" spans="1:8" ht="15">
      <c r="A344" s="430" t="s">
        <v>155</v>
      </c>
      <c r="B344" s="431" t="s">
        <v>562</v>
      </c>
      <c r="C344" s="99" t="s">
        <v>154</v>
      </c>
      <c r="D344" s="99" t="s">
        <v>15</v>
      </c>
      <c r="E344" s="352">
        <f>26.3+500</f>
        <v>526.3</v>
      </c>
      <c r="F344" s="352">
        <v>0</v>
      </c>
      <c r="G344" s="429">
        <v>0</v>
      </c>
      <c r="H344" s="202"/>
    </row>
    <row r="345" spans="1:8" ht="15.75">
      <c r="A345" s="433" t="s">
        <v>547</v>
      </c>
      <c r="B345" s="434" t="s">
        <v>650</v>
      </c>
      <c r="C345" s="434"/>
      <c r="D345" s="435"/>
      <c r="E345" s="440">
        <f>E348+E346</f>
        <v>8343</v>
      </c>
      <c r="F345" s="440">
        <f>F348</f>
        <v>0</v>
      </c>
      <c r="G345" s="440">
        <f>G348</f>
        <v>0</v>
      </c>
      <c r="H345" s="202"/>
    </row>
    <row r="346" spans="1:8" ht="15.75">
      <c r="A346" s="436" t="s">
        <v>663</v>
      </c>
      <c r="B346" s="97" t="s">
        <v>662</v>
      </c>
      <c r="C346" s="96"/>
      <c r="D346" s="96"/>
      <c r="E346" s="439">
        <f aca="true" t="shared" si="18" ref="E346:G348">E347</f>
        <v>1700</v>
      </c>
      <c r="F346" s="439">
        <f t="shared" si="18"/>
        <v>0</v>
      </c>
      <c r="G346" s="439">
        <f t="shared" si="18"/>
        <v>0</v>
      </c>
      <c r="H346" s="202"/>
    </row>
    <row r="347" spans="1:8" ht="15">
      <c r="A347" s="430" t="s">
        <v>155</v>
      </c>
      <c r="B347" s="95" t="s">
        <v>662</v>
      </c>
      <c r="C347" s="95" t="s">
        <v>154</v>
      </c>
      <c r="D347" s="95" t="s">
        <v>15</v>
      </c>
      <c r="E347" s="437">
        <v>1700</v>
      </c>
      <c r="F347" s="437">
        <v>0</v>
      </c>
      <c r="G347" s="438">
        <v>0</v>
      </c>
      <c r="H347" s="202"/>
    </row>
    <row r="348" spans="1:8" ht="30">
      <c r="A348" s="436" t="s">
        <v>651</v>
      </c>
      <c r="B348" s="97" t="s">
        <v>652</v>
      </c>
      <c r="C348" s="96"/>
      <c r="D348" s="96"/>
      <c r="E348" s="439">
        <f t="shared" si="18"/>
        <v>6643</v>
      </c>
      <c r="F348" s="439">
        <f t="shared" si="18"/>
        <v>0</v>
      </c>
      <c r="G348" s="439">
        <f t="shared" si="18"/>
        <v>0</v>
      </c>
      <c r="H348" s="202"/>
    </row>
    <row r="349" spans="1:8" ht="15">
      <c r="A349" s="432" t="s">
        <v>159</v>
      </c>
      <c r="B349" s="95" t="s">
        <v>652</v>
      </c>
      <c r="C349" s="95" t="s">
        <v>157</v>
      </c>
      <c r="D349" s="95" t="s">
        <v>174</v>
      </c>
      <c r="E349" s="437">
        <v>6643</v>
      </c>
      <c r="F349" s="437">
        <v>0</v>
      </c>
      <c r="G349" s="438">
        <v>0</v>
      </c>
      <c r="H349" s="202"/>
    </row>
    <row r="350" spans="1:7" ht="39.75" customHeight="1">
      <c r="A350" s="51" t="s">
        <v>524</v>
      </c>
      <c r="B350" s="52" t="s">
        <v>316</v>
      </c>
      <c r="C350" s="52"/>
      <c r="D350" s="53"/>
      <c r="E350" s="344">
        <f>E351</f>
        <v>270315.2</v>
      </c>
      <c r="F350" s="344">
        <f>F351</f>
        <v>267638.69999999995</v>
      </c>
      <c r="G350" s="368">
        <f>G351</f>
        <v>267660.5</v>
      </c>
    </row>
    <row r="351" spans="1:7" ht="24" customHeight="1">
      <c r="A351" s="8" t="s">
        <v>347</v>
      </c>
      <c r="B351" s="4" t="s">
        <v>319</v>
      </c>
      <c r="C351" s="4"/>
      <c r="D351" s="5"/>
      <c r="E351" s="283">
        <f>E352+E365+E368+E376+E382+E388+E400+E405+E410</f>
        <v>270315.2</v>
      </c>
      <c r="F351" s="283">
        <f>F352+F365+F368+F376+F382+F388+F400+F405+F410</f>
        <v>267638.69999999995</v>
      </c>
      <c r="G351" s="283">
        <f>G352+G365+G368+G376+G382+G388+G400+G405+G410</f>
        <v>267660.5</v>
      </c>
    </row>
    <row r="352" spans="1:8" ht="44.25" customHeight="1">
      <c r="A352" s="130" t="s">
        <v>296</v>
      </c>
      <c r="B352" s="135" t="s">
        <v>317</v>
      </c>
      <c r="C352" s="135"/>
      <c r="D352" s="136"/>
      <c r="E352" s="278">
        <f>E353+E363+E359+E361+E357</f>
        <v>24419.7</v>
      </c>
      <c r="F352" s="278">
        <f>F353+F363+F359+F361+F357</f>
        <v>24222.3</v>
      </c>
      <c r="G352" s="285">
        <f>G353+G363+G359+G361+G357</f>
        <v>24232.5</v>
      </c>
      <c r="H352" s="202"/>
    </row>
    <row r="353" spans="1:8" ht="28.5" customHeight="1">
      <c r="A353" s="72" t="s">
        <v>252</v>
      </c>
      <c r="B353" s="20" t="s">
        <v>318</v>
      </c>
      <c r="C353" s="20"/>
      <c r="D353" s="21"/>
      <c r="E353" s="260">
        <f>E354+E355+E356</f>
        <v>22745</v>
      </c>
      <c r="F353" s="260">
        <f>F354+F355+F356</f>
        <v>22745</v>
      </c>
      <c r="G353" s="261">
        <f>G354+G355+G356</f>
        <v>22745</v>
      </c>
      <c r="H353" s="202"/>
    </row>
    <row r="354" spans="1:8" ht="45">
      <c r="A354" s="105" t="s">
        <v>145</v>
      </c>
      <c r="B354" s="69" t="s">
        <v>318</v>
      </c>
      <c r="C354" s="69" t="s">
        <v>142</v>
      </c>
      <c r="D354" s="69" t="s">
        <v>30</v>
      </c>
      <c r="E354" s="262">
        <v>18059</v>
      </c>
      <c r="F354" s="262">
        <v>18059</v>
      </c>
      <c r="G354" s="263">
        <v>18059</v>
      </c>
      <c r="H354" s="202"/>
    </row>
    <row r="355" spans="1:8" ht="15">
      <c r="A355" s="61" t="s">
        <v>146</v>
      </c>
      <c r="B355" s="36" t="s">
        <v>318</v>
      </c>
      <c r="C355" s="36" t="s">
        <v>143</v>
      </c>
      <c r="D355" s="36" t="s">
        <v>30</v>
      </c>
      <c r="E355" s="326">
        <v>4572.7</v>
      </c>
      <c r="F355" s="326">
        <v>4572.7</v>
      </c>
      <c r="G355" s="326">
        <v>4572.7</v>
      </c>
      <c r="H355" s="202"/>
    </row>
    <row r="356" spans="1:8" ht="15">
      <c r="A356" s="22" t="s">
        <v>147</v>
      </c>
      <c r="B356" s="18" t="s">
        <v>318</v>
      </c>
      <c r="C356" s="18" t="s">
        <v>144</v>
      </c>
      <c r="D356" s="18" t="s">
        <v>30</v>
      </c>
      <c r="E356" s="264">
        <v>113.3</v>
      </c>
      <c r="F356" s="264">
        <v>113.3</v>
      </c>
      <c r="G356" s="265">
        <v>113.3</v>
      </c>
      <c r="H356" s="202"/>
    </row>
    <row r="357" spans="1:8" ht="15.75">
      <c r="A357" s="19" t="s">
        <v>522</v>
      </c>
      <c r="B357" s="20" t="s">
        <v>500</v>
      </c>
      <c r="C357" s="20"/>
      <c r="D357" s="21"/>
      <c r="E357" s="260">
        <f>E358</f>
        <v>470</v>
      </c>
      <c r="F357" s="260">
        <f>F358</f>
        <v>410</v>
      </c>
      <c r="G357" s="261">
        <f>G358</f>
        <v>410</v>
      </c>
      <c r="H357" s="202"/>
    </row>
    <row r="358" spans="1:8" ht="15">
      <c r="A358" s="22" t="s">
        <v>146</v>
      </c>
      <c r="B358" s="18" t="s">
        <v>500</v>
      </c>
      <c r="C358" s="18" t="s">
        <v>143</v>
      </c>
      <c r="D358" s="18" t="s">
        <v>30</v>
      </c>
      <c r="E358" s="264">
        <v>470</v>
      </c>
      <c r="F358" s="264">
        <v>410</v>
      </c>
      <c r="G358" s="265">
        <v>410</v>
      </c>
      <c r="H358" s="202"/>
    </row>
    <row r="359" spans="1:8" ht="30.75">
      <c r="A359" s="19" t="s">
        <v>163</v>
      </c>
      <c r="B359" s="20" t="s">
        <v>321</v>
      </c>
      <c r="C359" s="20"/>
      <c r="D359" s="21"/>
      <c r="E359" s="260">
        <f>E360</f>
        <v>169</v>
      </c>
      <c r="F359" s="260">
        <f>F360</f>
        <v>169</v>
      </c>
      <c r="G359" s="261">
        <f>G360</f>
        <v>169</v>
      </c>
      <c r="H359" s="202"/>
    </row>
    <row r="360" spans="1:8" ht="15">
      <c r="A360" s="22" t="s">
        <v>146</v>
      </c>
      <c r="B360" s="18" t="s">
        <v>321</v>
      </c>
      <c r="C360" s="18" t="s">
        <v>143</v>
      </c>
      <c r="D360" s="18" t="s">
        <v>30</v>
      </c>
      <c r="E360" s="264">
        <v>169</v>
      </c>
      <c r="F360" s="264">
        <v>169</v>
      </c>
      <c r="G360" s="265">
        <v>169</v>
      </c>
      <c r="H360" s="202"/>
    </row>
    <row r="361" spans="1:8" ht="15.75">
      <c r="A361" s="72" t="s">
        <v>180</v>
      </c>
      <c r="B361" s="20" t="s">
        <v>322</v>
      </c>
      <c r="C361" s="20"/>
      <c r="D361" s="21"/>
      <c r="E361" s="260">
        <f>E362</f>
        <v>147.4</v>
      </c>
      <c r="F361" s="260">
        <f>F362</f>
        <v>0</v>
      </c>
      <c r="G361" s="261">
        <f>G362</f>
        <v>0</v>
      </c>
      <c r="H361" s="202"/>
    </row>
    <row r="362" spans="1:8" ht="15">
      <c r="A362" s="22" t="s">
        <v>146</v>
      </c>
      <c r="B362" s="18" t="s">
        <v>322</v>
      </c>
      <c r="C362" s="18" t="s">
        <v>143</v>
      </c>
      <c r="D362" s="18" t="s">
        <v>30</v>
      </c>
      <c r="E362" s="264">
        <f>7.4+140</f>
        <v>147.4</v>
      </c>
      <c r="F362" s="264">
        <v>0</v>
      </c>
      <c r="G362" s="265">
        <v>0</v>
      </c>
      <c r="H362" s="202"/>
    </row>
    <row r="363" spans="1:8" ht="30.75">
      <c r="A363" s="72" t="s">
        <v>297</v>
      </c>
      <c r="B363" s="20" t="s">
        <v>320</v>
      </c>
      <c r="C363" s="20"/>
      <c r="D363" s="21"/>
      <c r="E363" s="260">
        <f>E364</f>
        <v>888.3</v>
      </c>
      <c r="F363" s="260">
        <f>F364</f>
        <v>898.3</v>
      </c>
      <c r="G363" s="261">
        <f>G364</f>
        <v>908.5</v>
      </c>
      <c r="H363" s="202"/>
    </row>
    <row r="364" spans="1:8" ht="15">
      <c r="A364" s="22" t="s">
        <v>146</v>
      </c>
      <c r="B364" s="18" t="s">
        <v>320</v>
      </c>
      <c r="C364" s="18" t="s">
        <v>143</v>
      </c>
      <c r="D364" s="18" t="s">
        <v>30</v>
      </c>
      <c r="E364" s="264">
        <f>88.8+799.5</f>
        <v>888.3</v>
      </c>
      <c r="F364" s="264">
        <f>98.8+799.5</f>
        <v>898.3</v>
      </c>
      <c r="G364" s="265">
        <f>109+799.5</f>
        <v>908.5</v>
      </c>
      <c r="H364" s="202"/>
    </row>
    <row r="365" spans="1:8" ht="30.75">
      <c r="A365" s="130" t="s">
        <v>298</v>
      </c>
      <c r="B365" s="135" t="s">
        <v>323</v>
      </c>
      <c r="C365" s="135"/>
      <c r="D365" s="136"/>
      <c r="E365" s="278">
        <f>E366</f>
        <v>20516.8</v>
      </c>
      <c r="F365" s="278">
        <f aca="true" t="shared" si="19" ref="E365:G366">F366</f>
        <v>20516.8</v>
      </c>
      <c r="G365" s="285">
        <f t="shared" si="19"/>
        <v>20516.8</v>
      </c>
      <c r="H365" s="202"/>
    </row>
    <row r="366" spans="1:8" ht="60.75">
      <c r="A366" s="9" t="s">
        <v>191</v>
      </c>
      <c r="B366" s="10" t="s">
        <v>324</v>
      </c>
      <c r="C366" s="10"/>
      <c r="D366" s="11"/>
      <c r="E366" s="260">
        <f t="shared" si="19"/>
        <v>20516.8</v>
      </c>
      <c r="F366" s="260">
        <f t="shared" si="19"/>
        <v>20516.8</v>
      </c>
      <c r="G366" s="261">
        <f t="shared" si="19"/>
        <v>20516.8</v>
      </c>
      <c r="H366" s="202"/>
    </row>
    <row r="367" spans="1:8" ht="30.75" customHeight="1">
      <c r="A367" s="16" t="s">
        <v>145</v>
      </c>
      <c r="B367" s="17" t="s">
        <v>324</v>
      </c>
      <c r="C367" s="17" t="s">
        <v>142</v>
      </c>
      <c r="D367" s="17" t="s">
        <v>30</v>
      </c>
      <c r="E367" s="264">
        <f>10258.4+10258.4</f>
        <v>20516.8</v>
      </c>
      <c r="F367" s="264">
        <f>10258.4+10258.4</f>
        <v>20516.8</v>
      </c>
      <c r="G367" s="264">
        <f>10258.4+10258.4</f>
        <v>20516.8</v>
      </c>
      <c r="H367" s="202"/>
    </row>
    <row r="368" spans="1:8" ht="30.75" customHeight="1">
      <c r="A368" s="140" t="s">
        <v>299</v>
      </c>
      <c r="B368" s="141" t="s">
        <v>325</v>
      </c>
      <c r="C368" s="141"/>
      <c r="D368" s="142"/>
      <c r="E368" s="350">
        <f>E369+E372+E374</f>
        <v>4302.2</v>
      </c>
      <c r="F368" s="350">
        <f>F369+F372+F374</f>
        <v>4302.2</v>
      </c>
      <c r="G368" s="351">
        <f>G369+G372+G374</f>
        <v>4302.2</v>
      </c>
      <c r="H368" s="202"/>
    </row>
    <row r="369" spans="1:8" ht="15.75">
      <c r="A369" s="72" t="s">
        <v>166</v>
      </c>
      <c r="B369" s="20" t="s">
        <v>326</v>
      </c>
      <c r="C369" s="20"/>
      <c r="D369" s="21"/>
      <c r="E369" s="260">
        <f>E370+E371</f>
        <v>971.3</v>
      </c>
      <c r="F369" s="260">
        <f>F370+F371</f>
        <v>971.3</v>
      </c>
      <c r="G369" s="260">
        <f>G370+G371</f>
        <v>971.3</v>
      </c>
      <c r="H369" s="202"/>
    </row>
    <row r="370" spans="1:8" ht="15">
      <c r="A370" s="430" t="s">
        <v>146</v>
      </c>
      <c r="B370" s="196" t="s">
        <v>326</v>
      </c>
      <c r="C370" s="196" t="s">
        <v>143</v>
      </c>
      <c r="D370" s="196" t="s">
        <v>31</v>
      </c>
      <c r="E370" s="273">
        <f>971.3-50-55-24</f>
        <v>842.3</v>
      </c>
      <c r="F370" s="273">
        <v>971.3</v>
      </c>
      <c r="G370" s="289">
        <v>971.3</v>
      </c>
      <c r="H370" s="202"/>
    </row>
    <row r="371" spans="1:8" ht="15">
      <c r="A371" s="32" t="s">
        <v>155</v>
      </c>
      <c r="B371" s="33" t="s">
        <v>326</v>
      </c>
      <c r="C371" s="33" t="s">
        <v>154</v>
      </c>
      <c r="D371" s="33" t="s">
        <v>31</v>
      </c>
      <c r="E371" s="274">
        <f>50+55+24</f>
        <v>129</v>
      </c>
      <c r="F371" s="274">
        <v>0</v>
      </c>
      <c r="G371" s="320">
        <v>0</v>
      </c>
      <c r="H371" s="202"/>
    </row>
    <row r="372" spans="1:8" ht="15.75">
      <c r="A372" s="19" t="s">
        <v>537</v>
      </c>
      <c r="B372" s="20" t="s">
        <v>327</v>
      </c>
      <c r="C372" s="20"/>
      <c r="D372" s="21"/>
      <c r="E372" s="260">
        <f>E373</f>
        <v>1757.7</v>
      </c>
      <c r="F372" s="260">
        <f>F373</f>
        <v>1757.7</v>
      </c>
      <c r="G372" s="261">
        <f>G373</f>
        <v>1757.7</v>
      </c>
      <c r="H372" s="202"/>
    </row>
    <row r="373" spans="1:8" ht="15">
      <c r="A373" s="22" t="s">
        <v>146</v>
      </c>
      <c r="B373" s="18" t="s">
        <v>327</v>
      </c>
      <c r="C373" s="18" t="s">
        <v>143</v>
      </c>
      <c r="D373" s="18" t="s">
        <v>31</v>
      </c>
      <c r="E373" s="264">
        <v>1757.7</v>
      </c>
      <c r="F373" s="264">
        <v>1757.7</v>
      </c>
      <c r="G373" s="264">
        <v>1757.7</v>
      </c>
      <c r="H373" s="202"/>
    </row>
    <row r="374" spans="1:8" ht="30">
      <c r="A374" s="94" t="s">
        <v>300</v>
      </c>
      <c r="B374" s="20" t="s">
        <v>328</v>
      </c>
      <c r="C374" s="93"/>
      <c r="D374" s="20"/>
      <c r="E374" s="362">
        <f>SUM(E375:E375)</f>
        <v>1573.2</v>
      </c>
      <c r="F374" s="362">
        <f>SUM(F375:F375)</f>
        <v>1573.2</v>
      </c>
      <c r="G374" s="363">
        <f>SUM(G375:G375)</f>
        <v>1573.2</v>
      </c>
      <c r="H374" s="202"/>
    </row>
    <row r="375" spans="1:8" ht="15">
      <c r="A375" s="32" t="s">
        <v>146</v>
      </c>
      <c r="B375" s="33" t="s">
        <v>328</v>
      </c>
      <c r="C375" s="33" t="s">
        <v>143</v>
      </c>
      <c r="D375" s="33" t="s">
        <v>31</v>
      </c>
      <c r="E375" s="274">
        <v>1573.2</v>
      </c>
      <c r="F375" s="274">
        <v>1573.2</v>
      </c>
      <c r="G375" s="274">
        <v>1573.2</v>
      </c>
      <c r="H375" s="202"/>
    </row>
    <row r="376" spans="1:8" ht="27.75" customHeight="1">
      <c r="A376" s="130" t="s">
        <v>301</v>
      </c>
      <c r="B376" s="135" t="s">
        <v>329</v>
      </c>
      <c r="C376" s="135"/>
      <c r="D376" s="136"/>
      <c r="E376" s="278">
        <f>E377+E380</f>
        <v>193169.3</v>
      </c>
      <c r="F376" s="278">
        <f>F377+F380</f>
        <v>193169.3</v>
      </c>
      <c r="G376" s="285">
        <f>G377+G380</f>
        <v>193169.3</v>
      </c>
      <c r="H376" s="202"/>
    </row>
    <row r="377" spans="1:8" ht="15.75">
      <c r="A377" s="19" t="s">
        <v>252</v>
      </c>
      <c r="B377" s="64" t="s">
        <v>330</v>
      </c>
      <c r="C377" s="64"/>
      <c r="D377" s="65"/>
      <c r="E377" s="266">
        <f>SUM(E378:E379)</f>
        <v>192660.3</v>
      </c>
      <c r="F377" s="266">
        <f>SUM(F378:F379)</f>
        <v>192660.3</v>
      </c>
      <c r="G377" s="266">
        <f>SUM(G378:G379)</f>
        <v>192660.3</v>
      </c>
      <c r="H377" s="202"/>
    </row>
    <row r="378" spans="1:8" ht="15">
      <c r="A378" s="30" t="s">
        <v>146</v>
      </c>
      <c r="B378" s="31" t="s">
        <v>330</v>
      </c>
      <c r="C378" s="31" t="s">
        <v>143</v>
      </c>
      <c r="D378" s="31" t="s">
        <v>126</v>
      </c>
      <c r="E378" s="271">
        <v>1232.3</v>
      </c>
      <c r="F378" s="271">
        <v>1232.3</v>
      </c>
      <c r="G378" s="272">
        <v>1232.3</v>
      </c>
      <c r="H378" s="202"/>
    </row>
    <row r="379" spans="1:8" ht="15">
      <c r="A379" s="32" t="s">
        <v>155</v>
      </c>
      <c r="B379" s="33" t="s">
        <v>330</v>
      </c>
      <c r="C379" s="33" t="s">
        <v>154</v>
      </c>
      <c r="D379" s="33" t="s">
        <v>126</v>
      </c>
      <c r="E379" s="274">
        <v>191428</v>
      </c>
      <c r="F379" s="274">
        <v>191428</v>
      </c>
      <c r="G379" s="320">
        <v>191428</v>
      </c>
      <c r="H379" s="202"/>
    </row>
    <row r="380" spans="1:8" ht="30.75">
      <c r="A380" s="19" t="s">
        <v>302</v>
      </c>
      <c r="B380" s="64" t="s">
        <v>331</v>
      </c>
      <c r="C380" s="20"/>
      <c r="D380" s="21"/>
      <c r="E380" s="260">
        <f>SUM(E381:E381)</f>
        <v>509</v>
      </c>
      <c r="F380" s="260">
        <f>SUM(F381:F381)</f>
        <v>509</v>
      </c>
      <c r="G380" s="261">
        <f>SUM(G381:G381)</f>
        <v>509</v>
      </c>
      <c r="H380" s="202"/>
    </row>
    <row r="381" spans="1:8" ht="15">
      <c r="A381" s="32" t="s">
        <v>155</v>
      </c>
      <c r="B381" s="131" t="s">
        <v>331</v>
      </c>
      <c r="C381" s="131" t="s">
        <v>154</v>
      </c>
      <c r="D381" s="131" t="s">
        <v>126</v>
      </c>
      <c r="E381" s="274">
        <v>509</v>
      </c>
      <c r="F381" s="274">
        <v>509</v>
      </c>
      <c r="G381" s="320">
        <v>509</v>
      </c>
      <c r="H381" s="202"/>
    </row>
    <row r="382" spans="1:8" ht="15.75">
      <c r="A382" s="130" t="s">
        <v>303</v>
      </c>
      <c r="B382" s="135" t="s">
        <v>332</v>
      </c>
      <c r="C382" s="135"/>
      <c r="D382" s="136"/>
      <c r="E382" s="278">
        <f>E385+E383</f>
        <v>9154</v>
      </c>
      <c r="F382" s="278">
        <f>F385+F383</f>
        <v>9198.4</v>
      </c>
      <c r="G382" s="278">
        <f>G385+G383</f>
        <v>9210</v>
      </c>
      <c r="H382" s="202"/>
    </row>
    <row r="383" spans="1:8" ht="30.75">
      <c r="A383" s="19" t="s">
        <v>499</v>
      </c>
      <c r="B383" s="20" t="s">
        <v>498</v>
      </c>
      <c r="C383" s="20"/>
      <c r="D383" s="21"/>
      <c r="E383" s="260">
        <f>SUM(E384:E384)</f>
        <v>8140</v>
      </c>
      <c r="F383" s="260">
        <f>SUM(F384:F384)</f>
        <v>8173</v>
      </c>
      <c r="G383" s="261">
        <f>SUM(G384:G384)</f>
        <v>8173</v>
      </c>
      <c r="H383" s="202"/>
    </row>
    <row r="384" spans="1:8" ht="15">
      <c r="A384" s="32" t="s">
        <v>146</v>
      </c>
      <c r="B384" s="33" t="s">
        <v>498</v>
      </c>
      <c r="C384" s="33" t="s">
        <v>143</v>
      </c>
      <c r="D384" s="33" t="s">
        <v>126</v>
      </c>
      <c r="E384" s="274">
        <v>8140</v>
      </c>
      <c r="F384" s="274">
        <v>8173</v>
      </c>
      <c r="G384" s="320">
        <v>8173</v>
      </c>
      <c r="H384" s="202"/>
    </row>
    <row r="385" spans="1:8" ht="45.75">
      <c r="A385" s="19" t="s">
        <v>168</v>
      </c>
      <c r="B385" s="20" t="s">
        <v>333</v>
      </c>
      <c r="C385" s="20"/>
      <c r="D385" s="21"/>
      <c r="E385" s="260">
        <f>SUM(E386:E387)</f>
        <v>1014</v>
      </c>
      <c r="F385" s="260">
        <f>SUM(F386:F387)</f>
        <v>1025.4</v>
      </c>
      <c r="G385" s="261">
        <f>SUM(G386:G387)</f>
        <v>1037</v>
      </c>
      <c r="H385" s="202"/>
    </row>
    <row r="386" spans="1:8" ht="15">
      <c r="A386" s="30" t="s">
        <v>146</v>
      </c>
      <c r="B386" s="31" t="s">
        <v>333</v>
      </c>
      <c r="C386" s="31" t="s">
        <v>143</v>
      </c>
      <c r="D386" s="31" t="s">
        <v>126</v>
      </c>
      <c r="E386" s="271">
        <v>0</v>
      </c>
      <c r="F386" s="271">
        <f>112.8+912.6</f>
        <v>1025.4</v>
      </c>
      <c r="G386" s="272">
        <f>124.4+912.6</f>
        <v>1037</v>
      </c>
      <c r="H386" s="202"/>
    </row>
    <row r="387" spans="1:8" ht="15">
      <c r="A387" s="32" t="s">
        <v>155</v>
      </c>
      <c r="B387" s="33" t="s">
        <v>333</v>
      </c>
      <c r="C387" s="33" t="s">
        <v>154</v>
      </c>
      <c r="D387" s="33" t="s">
        <v>126</v>
      </c>
      <c r="E387" s="274">
        <f>101.4+912.6</f>
        <v>1014</v>
      </c>
      <c r="F387" s="274">
        <v>0</v>
      </c>
      <c r="G387" s="320">
        <v>0</v>
      </c>
      <c r="H387" s="202"/>
    </row>
    <row r="388" spans="1:8" ht="30.75">
      <c r="A388" s="130" t="s">
        <v>304</v>
      </c>
      <c r="B388" s="135" t="s">
        <v>334</v>
      </c>
      <c r="C388" s="135"/>
      <c r="D388" s="136"/>
      <c r="E388" s="278">
        <f>E389+E392+E398+E395</f>
        <v>4572.1</v>
      </c>
      <c r="F388" s="278">
        <f>F389+F392+F398+F395</f>
        <v>4599.1</v>
      </c>
      <c r="G388" s="285">
        <f>G389+G392+G398+G395</f>
        <v>4599.1</v>
      </c>
      <c r="H388" s="202"/>
    </row>
    <row r="389" spans="1:8" ht="15.75">
      <c r="A389" s="94" t="s">
        <v>305</v>
      </c>
      <c r="B389" s="20" t="s">
        <v>335</v>
      </c>
      <c r="C389" s="93"/>
      <c r="D389" s="20"/>
      <c r="E389" s="362">
        <f>E390+E391</f>
        <v>522.7</v>
      </c>
      <c r="F389" s="362">
        <f>F390+F391</f>
        <v>522.7</v>
      </c>
      <c r="G389" s="363">
        <f>G390+G391</f>
        <v>522.7</v>
      </c>
      <c r="H389" s="202"/>
    </row>
    <row r="390" spans="1:8" ht="15">
      <c r="A390" s="12" t="s">
        <v>146</v>
      </c>
      <c r="B390" s="13" t="s">
        <v>335</v>
      </c>
      <c r="C390" s="13" t="s">
        <v>143</v>
      </c>
      <c r="D390" s="13" t="s">
        <v>30</v>
      </c>
      <c r="E390" s="262">
        <v>120.1</v>
      </c>
      <c r="F390" s="262">
        <v>120.1</v>
      </c>
      <c r="G390" s="263">
        <v>120.1</v>
      </c>
      <c r="H390" s="202"/>
    </row>
    <row r="391" spans="1:8" ht="15">
      <c r="A391" s="16" t="s">
        <v>155</v>
      </c>
      <c r="B391" s="17" t="s">
        <v>335</v>
      </c>
      <c r="C391" s="17" t="s">
        <v>154</v>
      </c>
      <c r="D391" s="17" t="s">
        <v>126</v>
      </c>
      <c r="E391" s="264">
        <v>402.6</v>
      </c>
      <c r="F391" s="264">
        <v>402.6</v>
      </c>
      <c r="G391" s="265">
        <v>402.6</v>
      </c>
      <c r="H391" s="202"/>
    </row>
    <row r="392" spans="1:8" ht="15.75">
      <c r="A392" s="94" t="s">
        <v>306</v>
      </c>
      <c r="B392" s="20" t="s">
        <v>336</v>
      </c>
      <c r="C392" s="93"/>
      <c r="D392" s="20"/>
      <c r="E392" s="362">
        <f>E393+E394</f>
        <v>1494</v>
      </c>
      <c r="F392" s="362">
        <f>F393+F394</f>
        <v>1494</v>
      </c>
      <c r="G392" s="363">
        <f>G393+G394</f>
        <v>1494</v>
      </c>
      <c r="H392" s="202"/>
    </row>
    <row r="393" spans="1:8" ht="15">
      <c r="A393" s="12" t="s">
        <v>146</v>
      </c>
      <c r="B393" s="13" t="s">
        <v>336</v>
      </c>
      <c r="C393" s="13" t="s">
        <v>143</v>
      </c>
      <c r="D393" s="13" t="s">
        <v>30</v>
      </c>
      <c r="E393" s="262">
        <v>498</v>
      </c>
      <c r="F393" s="262">
        <v>498</v>
      </c>
      <c r="G393" s="263">
        <v>498</v>
      </c>
      <c r="H393" s="202"/>
    </row>
    <row r="394" spans="1:8" ht="15">
      <c r="A394" s="16" t="s">
        <v>155</v>
      </c>
      <c r="B394" s="17" t="s">
        <v>336</v>
      </c>
      <c r="C394" s="17" t="s">
        <v>154</v>
      </c>
      <c r="D394" s="17" t="s">
        <v>126</v>
      </c>
      <c r="E394" s="264">
        <v>996</v>
      </c>
      <c r="F394" s="264">
        <v>996</v>
      </c>
      <c r="G394" s="265">
        <v>996</v>
      </c>
      <c r="H394" s="202"/>
    </row>
    <row r="395" spans="1:8" ht="30.75">
      <c r="A395" s="90" t="s">
        <v>307</v>
      </c>
      <c r="B395" s="20" t="s">
        <v>338</v>
      </c>
      <c r="C395" s="20"/>
      <c r="D395" s="21"/>
      <c r="E395" s="260">
        <f>SUM(E396:E397)</f>
        <v>1719</v>
      </c>
      <c r="F395" s="260">
        <f>SUM(F396:F397)</f>
        <v>1746</v>
      </c>
      <c r="G395" s="261">
        <f>SUM(G396:G397)</f>
        <v>1746</v>
      </c>
      <c r="H395" s="202"/>
    </row>
    <row r="396" spans="1:8" ht="15">
      <c r="A396" s="25" t="s">
        <v>146</v>
      </c>
      <c r="B396" s="26" t="s">
        <v>338</v>
      </c>
      <c r="C396" s="26" t="s">
        <v>143</v>
      </c>
      <c r="D396" s="26" t="s">
        <v>126</v>
      </c>
      <c r="E396" s="268">
        <v>724</v>
      </c>
      <c r="F396" s="268">
        <v>808</v>
      </c>
      <c r="G396" s="306">
        <v>808</v>
      </c>
      <c r="H396" s="202"/>
    </row>
    <row r="397" spans="1:8" ht="15">
      <c r="A397" s="27" t="s">
        <v>146</v>
      </c>
      <c r="B397" s="28" t="s">
        <v>338</v>
      </c>
      <c r="C397" s="28" t="s">
        <v>143</v>
      </c>
      <c r="D397" s="28" t="s">
        <v>30</v>
      </c>
      <c r="E397" s="269">
        <v>995</v>
      </c>
      <c r="F397" s="269">
        <v>938</v>
      </c>
      <c r="G397" s="275">
        <v>938</v>
      </c>
      <c r="H397" s="202"/>
    </row>
    <row r="398" spans="1:8" ht="30.75">
      <c r="A398" s="155" t="s">
        <v>492</v>
      </c>
      <c r="B398" s="20" t="s">
        <v>337</v>
      </c>
      <c r="C398" s="20"/>
      <c r="D398" s="21"/>
      <c r="E398" s="260">
        <f>E399</f>
        <v>836.4</v>
      </c>
      <c r="F398" s="260">
        <f>F399</f>
        <v>836.4</v>
      </c>
      <c r="G398" s="261">
        <f>G399</f>
        <v>836.4</v>
      </c>
      <c r="H398" s="202"/>
    </row>
    <row r="399" spans="1:8" ht="15">
      <c r="A399" s="16" t="s">
        <v>155</v>
      </c>
      <c r="B399" s="17" t="s">
        <v>337</v>
      </c>
      <c r="C399" s="17" t="s">
        <v>154</v>
      </c>
      <c r="D399" s="17" t="s">
        <v>126</v>
      </c>
      <c r="E399" s="264">
        <v>836.4</v>
      </c>
      <c r="F399" s="264">
        <v>836.4</v>
      </c>
      <c r="G399" s="265">
        <v>836.4</v>
      </c>
      <c r="H399" s="202"/>
    </row>
    <row r="400" spans="1:8" ht="30.75">
      <c r="A400" s="140" t="s">
        <v>308</v>
      </c>
      <c r="B400" s="141" t="s">
        <v>339</v>
      </c>
      <c r="C400" s="141"/>
      <c r="D400" s="142"/>
      <c r="E400" s="350">
        <f>E401+E403</f>
        <v>1457</v>
      </c>
      <c r="F400" s="350">
        <f>F401+F403</f>
        <v>1457</v>
      </c>
      <c r="G400" s="351">
        <f>G401+G403</f>
        <v>1457</v>
      </c>
      <c r="H400" s="202"/>
    </row>
    <row r="401" spans="1:8" ht="45.75">
      <c r="A401" s="237" t="s">
        <v>135</v>
      </c>
      <c r="B401" s="156" t="s">
        <v>340</v>
      </c>
      <c r="C401" s="157"/>
      <c r="D401" s="158"/>
      <c r="E401" s="293">
        <f>E402</f>
        <v>609.6</v>
      </c>
      <c r="F401" s="293">
        <f>F402</f>
        <v>609.6</v>
      </c>
      <c r="G401" s="294">
        <f>G402</f>
        <v>609.6</v>
      </c>
      <c r="H401" s="202"/>
    </row>
    <row r="402" spans="1:8" ht="15">
      <c r="A402" s="16" t="s">
        <v>155</v>
      </c>
      <c r="B402" s="103" t="s">
        <v>340</v>
      </c>
      <c r="C402" s="17" t="s">
        <v>154</v>
      </c>
      <c r="D402" s="17" t="s">
        <v>13</v>
      </c>
      <c r="E402" s="264">
        <v>609.6</v>
      </c>
      <c r="F402" s="264">
        <v>609.6</v>
      </c>
      <c r="G402" s="265">
        <v>609.6</v>
      </c>
      <c r="H402" s="202"/>
    </row>
    <row r="403" spans="1:8" ht="15.75">
      <c r="A403" s="240" t="s">
        <v>538</v>
      </c>
      <c r="B403" s="159" t="s">
        <v>341</v>
      </c>
      <c r="C403" s="157"/>
      <c r="D403" s="158"/>
      <c r="E403" s="293">
        <f>SUM(E404:E404)</f>
        <v>847.4</v>
      </c>
      <c r="F403" s="293">
        <f>SUM(F404:F404)</f>
        <v>847.4</v>
      </c>
      <c r="G403" s="294">
        <f>SUM(G404:G404)</f>
        <v>847.4</v>
      </c>
      <c r="H403" s="239"/>
    </row>
    <row r="404" spans="1:8" ht="15">
      <c r="A404" s="16" t="s">
        <v>155</v>
      </c>
      <c r="B404" s="33" t="s">
        <v>341</v>
      </c>
      <c r="C404" s="17" t="s">
        <v>154</v>
      </c>
      <c r="D404" s="17" t="s">
        <v>13</v>
      </c>
      <c r="E404" s="274">
        <v>847.4</v>
      </c>
      <c r="F404" s="274">
        <v>847.4</v>
      </c>
      <c r="G404" s="320">
        <v>847.4</v>
      </c>
      <c r="H404" s="202"/>
    </row>
    <row r="405" spans="1:8" ht="33.75" customHeight="1">
      <c r="A405" s="140" t="s">
        <v>309</v>
      </c>
      <c r="B405" s="141" t="s">
        <v>342</v>
      </c>
      <c r="C405" s="141"/>
      <c r="D405" s="142"/>
      <c r="E405" s="350">
        <f>E406+E408</f>
        <v>6134.6</v>
      </c>
      <c r="F405" s="350">
        <f>F406+F408</f>
        <v>6134.6</v>
      </c>
      <c r="G405" s="350">
        <f>G406+G408</f>
        <v>6134.6</v>
      </c>
      <c r="H405" s="202"/>
    </row>
    <row r="406" spans="1:8" ht="90.75">
      <c r="A406" s="108" t="s">
        <v>526</v>
      </c>
      <c r="B406" s="157" t="s">
        <v>343</v>
      </c>
      <c r="C406" s="157"/>
      <c r="D406" s="158"/>
      <c r="E406" s="293">
        <f>SUM(E407:E407)</f>
        <v>323</v>
      </c>
      <c r="F406" s="293">
        <f>SUM(F407:F407)</f>
        <v>323</v>
      </c>
      <c r="G406" s="294">
        <f>SUM(G407:G407)</f>
        <v>323</v>
      </c>
      <c r="H406" s="202"/>
    </row>
    <row r="407" spans="1:8" ht="15">
      <c r="A407" s="233" t="s">
        <v>147</v>
      </c>
      <c r="B407" s="33" t="s">
        <v>343</v>
      </c>
      <c r="C407" s="33" t="s">
        <v>144</v>
      </c>
      <c r="D407" s="33" t="s">
        <v>170</v>
      </c>
      <c r="E407" s="274">
        <v>323</v>
      </c>
      <c r="F407" s="274">
        <v>323</v>
      </c>
      <c r="G407" s="320">
        <v>323</v>
      </c>
      <c r="H407" s="202"/>
    </row>
    <row r="408" spans="1:8" ht="60.75">
      <c r="A408" s="108" t="s">
        <v>527</v>
      </c>
      <c r="B408" s="157" t="s">
        <v>344</v>
      </c>
      <c r="C408" s="157"/>
      <c r="D408" s="158"/>
      <c r="E408" s="328">
        <f>E409</f>
        <v>5811.6</v>
      </c>
      <c r="F408" s="328">
        <f>F409</f>
        <v>5811.6</v>
      </c>
      <c r="G408" s="329">
        <f>G409</f>
        <v>5811.6</v>
      </c>
      <c r="H408" s="202"/>
    </row>
    <row r="409" spans="1:8" ht="15">
      <c r="A409" s="238" t="s">
        <v>147</v>
      </c>
      <c r="B409" s="33" t="s">
        <v>344</v>
      </c>
      <c r="C409" s="33" t="s">
        <v>144</v>
      </c>
      <c r="D409" s="33" t="s">
        <v>170</v>
      </c>
      <c r="E409" s="369">
        <v>5811.6</v>
      </c>
      <c r="F409" s="369">
        <v>5811.6</v>
      </c>
      <c r="G409" s="370">
        <v>5811.6</v>
      </c>
      <c r="H409" s="202"/>
    </row>
    <row r="410" spans="1:8" ht="33" customHeight="1">
      <c r="A410" s="140" t="s">
        <v>310</v>
      </c>
      <c r="B410" s="141" t="s">
        <v>345</v>
      </c>
      <c r="C410" s="141"/>
      <c r="D410" s="142"/>
      <c r="E410" s="350">
        <f>E411+E415</f>
        <v>6589.500000000001</v>
      </c>
      <c r="F410" s="350">
        <f>F411</f>
        <v>4039</v>
      </c>
      <c r="G410" s="350">
        <f>G411</f>
        <v>4039</v>
      </c>
      <c r="H410" s="202"/>
    </row>
    <row r="411" spans="1:8" ht="15.75">
      <c r="A411" s="108" t="s">
        <v>291</v>
      </c>
      <c r="B411" s="149" t="s">
        <v>346</v>
      </c>
      <c r="C411" s="116"/>
      <c r="D411" s="116"/>
      <c r="E411" s="371">
        <f>E412+E413+E414</f>
        <v>6415.900000000001</v>
      </c>
      <c r="F411" s="371">
        <f>F412+F413+F414</f>
        <v>4039</v>
      </c>
      <c r="G411" s="372">
        <f>G412+G413+G414</f>
        <v>4039</v>
      </c>
      <c r="H411" s="202"/>
    </row>
    <row r="412" spans="1:8" ht="45">
      <c r="A412" s="30" t="s">
        <v>145</v>
      </c>
      <c r="B412" s="31" t="s">
        <v>346</v>
      </c>
      <c r="C412" s="31" t="s">
        <v>142</v>
      </c>
      <c r="D412" s="31" t="s">
        <v>31</v>
      </c>
      <c r="E412" s="271">
        <f>3670.6-173.6+2550.5</f>
        <v>6047.5</v>
      </c>
      <c r="F412" s="271">
        <v>3670.6</v>
      </c>
      <c r="G412" s="272">
        <v>3670.6</v>
      </c>
      <c r="H412" s="202"/>
    </row>
    <row r="413" spans="1:8" ht="15">
      <c r="A413" s="34" t="s">
        <v>146</v>
      </c>
      <c r="B413" s="35" t="s">
        <v>346</v>
      </c>
      <c r="C413" s="35" t="s">
        <v>143</v>
      </c>
      <c r="D413" s="35" t="s">
        <v>31</v>
      </c>
      <c r="E413" s="269">
        <v>366.6</v>
      </c>
      <c r="F413" s="269">
        <v>366.6</v>
      </c>
      <c r="G413" s="275">
        <v>366.6</v>
      </c>
      <c r="H413" s="202"/>
    </row>
    <row r="414" spans="1:8" ht="15">
      <c r="A414" s="22" t="s">
        <v>147</v>
      </c>
      <c r="B414" s="33" t="s">
        <v>346</v>
      </c>
      <c r="C414" s="33" t="s">
        <v>144</v>
      </c>
      <c r="D414" s="33" t="s">
        <v>31</v>
      </c>
      <c r="E414" s="274">
        <v>1.8</v>
      </c>
      <c r="F414" s="274">
        <v>1.8</v>
      </c>
      <c r="G414" s="320">
        <v>1.8</v>
      </c>
      <c r="H414" s="202"/>
    </row>
    <row r="415" spans="1:8" ht="30.75">
      <c r="A415" s="72" t="s">
        <v>668</v>
      </c>
      <c r="B415" s="70" t="s">
        <v>669</v>
      </c>
      <c r="C415" s="104"/>
      <c r="D415" s="104"/>
      <c r="E415" s="472">
        <f>E416</f>
        <v>173.6</v>
      </c>
      <c r="F415" s="472">
        <f>F416</f>
        <v>0</v>
      </c>
      <c r="G415" s="473">
        <f>G416</f>
        <v>0</v>
      </c>
      <c r="H415" s="202"/>
    </row>
    <row r="416" spans="1:8" ht="45">
      <c r="A416" s="22" t="s">
        <v>145</v>
      </c>
      <c r="B416" s="73" t="s">
        <v>669</v>
      </c>
      <c r="C416" s="73" t="s">
        <v>142</v>
      </c>
      <c r="D416" s="73" t="s">
        <v>31</v>
      </c>
      <c r="E416" s="474">
        <v>173.6</v>
      </c>
      <c r="F416" s="474">
        <v>0</v>
      </c>
      <c r="G416" s="475">
        <v>0</v>
      </c>
      <c r="H416" s="202"/>
    </row>
    <row r="417" spans="1:8" ht="30.75">
      <c r="A417" s="66" t="s">
        <v>1</v>
      </c>
      <c r="B417" s="67" t="s">
        <v>350</v>
      </c>
      <c r="C417" s="67"/>
      <c r="D417" s="68"/>
      <c r="E417" s="281">
        <f>E418+E431</f>
        <v>404385.7</v>
      </c>
      <c r="F417" s="281">
        <f>F418+F431</f>
        <v>235315.49999999997</v>
      </c>
      <c r="G417" s="281">
        <f>G418+G431</f>
        <v>0</v>
      </c>
      <c r="H417" s="202"/>
    </row>
    <row r="418" spans="1:8" ht="15.75">
      <c r="A418" s="78" t="s">
        <v>347</v>
      </c>
      <c r="B418" s="6" t="s">
        <v>477</v>
      </c>
      <c r="C418" s="6"/>
      <c r="D418" s="7"/>
      <c r="E418" s="345">
        <f>E419</f>
        <v>71801.2</v>
      </c>
      <c r="F418" s="345">
        <f>F419</f>
        <v>0</v>
      </c>
      <c r="G418" s="373">
        <f>G419</f>
        <v>0</v>
      </c>
      <c r="H418" s="202"/>
    </row>
    <row r="419" spans="1:8" ht="30.75">
      <c r="A419" s="130" t="s">
        <v>478</v>
      </c>
      <c r="B419" s="135" t="s">
        <v>485</v>
      </c>
      <c r="C419" s="135"/>
      <c r="D419" s="136"/>
      <c r="E419" s="278">
        <f>E424+E426+E429+E420+E422</f>
        <v>71801.2</v>
      </c>
      <c r="F419" s="278">
        <f>F424+F426+F429+F420+F422</f>
        <v>0</v>
      </c>
      <c r="G419" s="278">
        <f>G424+G426+G429+G420+G422</f>
        <v>0</v>
      </c>
      <c r="H419" s="202"/>
    </row>
    <row r="420" spans="1:8" ht="15.75">
      <c r="A420" s="152" t="s">
        <v>487</v>
      </c>
      <c r="B420" s="153" t="s">
        <v>486</v>
      </c>
      <c r="C420" s="69"/>
      <c r="D420" s="69"/>
      <c r="E420" s="286">
        <f>E421</f>
        <v>11510.2</v>
      </c>
      <c r="F420" s="286">
        <f>F421</f>
        <v>0</v>
      </c>
      <c r="G420" s="287">
        <f>G421</f>
        <v>0</v>
      </c>
      <c r="H420" s="202"/>
    </row>
    <row r="421" spans="1:8" ht="15">
      <c r="A421" s="201" t="s">
        <v>146</v>
      </c>
      <c r="B421" s="43" t="s">
        <v>486</v>
      </c>
      <c r="C421" s="43" t="s">
        <v>143</v>
      </c>
      <c r="D421" s="43" t="s">
        <v>13</v>
      </c>
      <c r="E421" s="374">
        <f>8110.1+3400.1</f>
        <v>11510.2</v>
      </c>
      <c r="F421" s="374">
        <v>0</v>
      </c>
      <c r="G421" s="375">
        <v>0</v>
      </c>
      <c r="H421" s="202"/>
    </row>
    <row r="422" spans="1:8" ht="30.75">
      <c r="A422" s="404" t="s">
        <v>683</v>
      </c>
      <c r="B422" s="97" t="s">
        <v>684</v>
      </c>
      <c r="C422" s="96"/>
      <c r="D422" s="96"/>
      <c r="E422" s="316">
        <f>E423</f>
        <v>54</v>
      </c>
      <c r="F422" s="316">
        <f>F423</f>
        <v>0</v>
      </c>
      <c r="G422" s="316">
        <f>G423</f>
        <v>0</v>
      </c>
      <c r="H422" s="202"/>
    </row>
    <row r="423" spans="1:8" ht="15">
      <c r="A423" s="241" t="s">
        <v>146</v>
      </c>
      <c r="B423" s="95" t="s">
        <v>684</v>
      </c>
      <c r="C423" s="95" t="s">
        <v>143</v>
      </c>
      <c r="D423" s="95" t="s">
        <v>174</v>
      </c>
      <c r="E423" s="299">
        <v>54</v>
      </c>
      <c r="F423" s="299">
        <v>0</v>
      </c>
      <c r="G423" s="300">
        <v>0</v>
      </c>
      <c r="H423" s="202"/>
    </row>
    <row r="424" spans="1:8" ht="30.75">
      <c r="A424" s="152" t="s">
        <v>480</v>
      </c>
      <c r="B424" s="153" t="s">
        <v>479</v>
      </c>
      <c r="C424" s="69"/>
      <c r="D424" s="69"/>
      <c r="E424" s="286">
        <f>E425</f>
        <v>10350</v>
      </c>
      <c r="F424" s="286">
        <f>F425</f>
        <v>0</v>
      </c>
      <c r="G424" s="287">
        <f>G425</f>
        <v>0</v>
      </c>
      <c r="H424" s="202"/>
    </row>
    <row r="425" spans="1:8" ht="15">
      <c r="A425" s="154" t="s">
        <v>146</v>
      </c>
      <c r="B425" s="73" t="s">
        <v>479</v>
      </c>
      <c r="C425" s="73" t="s">
        <v>143</v>
      </c>
      <c r="D425" s="43" t="s">
        <v>26</v>
      </c>
      <c r="E425" s="264">
        <f>2200+7630+520</f>
        <v>10350</v>
      </c>
      <c r="F425" s="264">
        <v>0</v>
      </c>
      <c r="G425" s="265">
        <v>0</v>
      </c>
      <c r="H425" s="202"/>
    </row>
    <row r="426" spans="1:8" ht="15.75">
      <c r="A426" s="72" t="s">
        <v>482</v>
      </c>
      <c r="B426" s="20" t="s">
        <v>481</v>
      </c>
      <c r="C426" s="93"/>
      <c r="D426" s="93"/>
      <c r="E426" s="260">
        <f>E428+E427</f>
        <v>42687</v>
      </c>
      <c r="F426" s="260">
        <f>F428+F427</f>
        <v>0</v>
      </c>
      <c r="G426" s="261">
        <f>G428+G427</f>
        <v>0</v>
      </c>
      <c r="H426" s="202"/>
    </row>
    <row r="427" spans="1:8" ht="15">
      <c r="A427" s="30" t="s">
        <v>146</v>
      </c>
      <c r="B427" s="31" t="s">
        <v>481</v>
      </c>
      <c r="C427" s="31" t="s">
        <v>143</v>
      </c>
      <c r="D427" s="31" t="s">
        <v>26</v>
      </c>
      <c r="E427" s="271">
        <v>0</v>
      </c>
      <c r="F427" s="271">
        <v>0</v>
      </c>
      <c r="G427" s="272">
        <v>0</v>
      </c>
      <c r="H427" s="202"/>
    </row>
    <row r="428" spans="1:8" ht="15">
      <c r="A428" s="32" t="s">
        <v>146</v>
      </c>
      <c r="B428" s="33" t="s">
        <v>481</v>
      </c>
      <c r="C428" s="33" t="s">
        <v>143</v>
      </c>
      <c r="D428" s="33" t="s">
        <v>27</v>
      </c>
      <c r="E428" s="274">
        <f>42103.7+583.3</f>
        <v>42687</v>
      </c>
      <c r="F428" s="274">
        <v>0</v>
      </c>
      <c r="G428" s="320">
        <v>0</v>
      </c>
      <c r="H428" s="202"/>
    </row>
    <row r="429" spans="1:8" ht="30.75">
      <c r="A429" s="152" t="s">
        <v>484</v>
      </c>
      <c r="B429" s="153" t="s">
        <v>483</v>
      </c>
      <c r="C429" s="69"/>
      <c r="D429" s="69"/>
      <c r="E429" s="286">
        <f>E430</f>
        <v>7200</v>
      </c>
      <c r="F429" s="286">
        <f>F430</f>
        <v>0</v>
      </c>
      <c r="G429" s="287">
        <f>G430</f>
        <v>0</v>
      </c>
      <c r="H429" s="202"/>
    </row>
    <row r="430" spans="1:8" ht="15">
      <c r="A430" s="154" t="s">
        <v>146</v>
      </c>
      <c r="B430" s="73" t="s">
        <v>483</v>
      </c>
      <c r="C430" s="73" t="s">
        <v>143</v>
      </c>
      <c r="D430" s="43" t="s">
        <v>126</v>
      </c>
      <c r="E430" s="264">
        <v>7200</v>
      </c>
      <c r="F430" s="264">
        <v>0</v>
      </c>
      <c r="G430" s="265">
        <v>0</v>
      </c>
      <c r="H430" s="202"/>
    </row>
    <row r="431" spans="1:8" ht="15.75">
      <c r="A431" s="78" t="s">
        <v>547</v>
      </c>
      <c r="B431" s="6" t="s">
        <v>558</v>
      </c>
      <c r="C431" s="6"/>
      <c r="D431" s="7"/>
      <c r="E431" s="345">
        <f>E435+E432</f>
        <v>332584.5</v>
      </c>
      <c r="F431" s="345">
        <f>F435+F432</f>
        <v>235315.49999999997</v>
      </c>
      <c r="G431" s="345">
        <f>G435+G432</f>
        <v>0</v>
      </c>
      <c r="H431" s="202"/>
    </row>
    <row r="432" spans="1:8" ht="15.75">
      <c r="A432" s="130" t="s">
        <v>565</v>
      </c>
      <c r="B432" s="135" t="s">
        <v>563</v>
      </c>
      <c r="C432" s="135"/>
      <c r="D432" s="136"/>
      <c r="E432" s="278">
        <f aca="true" t="shared" si="20" ref="E432:G433">E433</f>
        <v>60000</v>
      </c>
      <c r="F432" s="278">
        <f t="shared" si="20"/>
        <v>151398.09999999998</v>
      </c>
      <c r="G432" s="285">
        <f t="shared" si="20"/>
        <v>0</v>
      </c>
      <c r="H432" s="202"/>
    </row>
    <row r="433" spans="1:8" ht="30.75">
      <c r="A433" s="152" t="s">
        <v>351</v>
      </c>
      <c r="B433" s="153" t="s">
        <v>564</v>
      </c>
      <c r="C433" s="69"/>
      <c r="D433" s="69"/>
      <c r="E433" s="286">
        <f t="shared" si="20"/>
        <v>60000</v>
      </c>
      <c r="F433" s="286">
        <f t="shared" si="20"/>
        <v>151398.09999999998</v>
      </c>
      <c r="G433" s="287">
        <f t="shared" si="20"/>
        <v>0</v>
      </c>
      <c r="H433" s="202"/>
    </row>
    <row r="434" spans="1:8" ht="15">
      <c r="A434" s="154" t="s">
        <v>146</v>
      </c>
      <c r="B434" s="73" t="s">
        <v>564</v>
      </c>
      <c r="C434" s="73" t="s">
        <v>143</v>
      </c>
      <c r="D434" s="43" t="s">
        <v>174</v>
      </c>
      <c r="E434" s="264">
        <f>6000+54000</f>
        <v>60000</v>
      </c>
      <c r="F434" s="264">
        <f>16653.8+134744.3</f>
        <v>151398.09999999998</v>
      </c>
      <c r="G434" s="265">
        <v>0</v>
      </c>
      <c r="H434" s="202"/>
    </row>
    <row r="435" spans="1:8" ht="30.75">
      <c r="A435" s="130" t="s">
        <v>556</v>
      </c>
      <c r="B435" s="135" t="s">
        <v>559</v>
      </c>
      <c r="C435" s="135"/>
      <c r="D435" s="136"/>
      <c r="E435" s="278">
        <f>E440+E436+E438</f>
        <v>272584.5</v>
      </c>
      <c r="F435" s="278">
        <f>F440+F436+F438</f>
        <v>83917.4</v>
      </c>
      <c r="G435" s="278">
        <f>G440+G436+G438</f>
        <v>0</v>
      </c>
      <c r="H435" s="202"/>
    </row>
    <row r="436" spans="1:8" ht="45.75">
      <c r="A436" s="404" t="s">
        <v>679</v>
      </c>
      <c r="B436" s="97" t="s">
        <v>680</v>
      </c>
      <c r="C436" s="135"/>
      <c r="D436" s="136"/>
      <c r="E436" s="278">
        <f>E437</f>
        <v>600</v>
      </c>
      <c r="F436" s="278">
        <f>F437</f>
        <v>0</v>
      </c>
      <c r="G436" s="278">
        <f>G437</f>
        <v>0</v>
      </c>
      <c r="H436" s="202"/>
    </row>
    <row r="437" spans="1:8" ht="15">
      <c r="A437" s="241" t="s">
        <v>146</v>
      </c>
      <c r="B437" s="95" t="s">
        <v>680</v>
      </c>
      <c r="C437" s="482" t="s">
        <v>143</v>
      </c>
      <c r="D437" s="482" t="s">
        <v>27</v>
      </c>
      <c r="E437" s="483">
        <v>600</v>
      </c>
      <c r="F437" s="483">
        <v>0</v>
      </c>
      <c r="G437" s="484">
        <v>0</v>
      </c>
      <c r="H437" s="202"/>
    </row>
    <row r="438" spans="1:8" ht="30.75">
      <c r="A438" s="404" t="s">
        <v>681</v>
      </c>
      <c r="B438" s="97" t="s">
        <v>682</v>
      </c>
      <c r="C438" s="482"/>
      <c r="D438" s="482"/>
      <c r="E438" s="278">
        <f>E439</f>
        <v>10914.8</v>
      </c>
      <c r="F438" s="278">
        <f>F439</f>
        <v>0</v>
      </c>
      <c r="G438" s="278">
        <f>G439</f>
        <v>0</v>
      </c>
      <c r="H438" s="202"/>
    </row>
    <row r="439" spans="1:8" ht="15">
      <c r="A439" s="241" t="s">
        <v>159</v>
      </c>
      <c r="B439" s="95" t="s">
        <v>682</v>
      </c>
      <c r="C439" s="482" t="s">
        <v>157</v>
      </c>
      <c r="D439" s="482" t="s">
        <v>27</v>
      </c>
      <c r="E439" s="483">
        <v>10914.8</v>
      </c>
      <c r="F439" s="483">
        <v>0</v>
      </c>
      <c r="G439" s="484">
        <v>0</v>
      </c>
      <c r="H439" s="202"/>
    </row>
    <row r="440" spans="1:8" ht="45.75">
      <c r="A440" s="152" t="s">
        <v>561</v>
      </c>
      <c r="B440" s="153" t="s">
        <v>560</v>
      </c>
      <c r="C440" s="69"/>
      <c r="D440" s="69"/>
      <c r="E440" s="286">
        <f>E441</f>
        <v>261069.7</v>
      </c>
      <c r="F440" s="286">
        <f>F441</f>
        <v>83917.4</v>
      </c>
      <c r="G440" s="287">
        <f>G441</f>
        <v>0</v>
      </c>
      <c r="H440" s="202"/>
    </row>
    <row r="441" spans="1:8" ht="15">
      <c r="A441" s="154" t="s">
        <v>159</v>
      </c>
      <c r="B441" s="73" t="s">
        <v>560</v>
      </c>
      <c r="C441" s="73" t="s">
        <v>157</v>
      </c>
      <c r="D441" s="43" t="s">
        <v>27</v>
      </c>
      <c r="E441" s="264">
        <f>4540.5+11460+245069.2</f>
        <v>261069.7</v>
      </c>
      <c r="F441" s="264">
        <f>6713.4+77204</f>
        <v>83917.4</v>
      </c>
      <c r="G441" s="265">
        <v>0</v>
      </c>
      <c r="H441" s="202"/>
    </row>
    <row r="442" spans="1:8" ht="30.75">
      <c r="A442" s="51" t="s">
        <v>9</v>
      </c>
      <c r="B442" s="52" t="s">
        <v>277</v>
      </c>
      <c r="C442" s="52"/>
      <c r="D442" s="53"/>
      <c r="E442" s="344">
        <f>E443</f>
        <v>271914.7</v>
      </c>
      <c r="F442" s="344">
        <f>F443</f>
        <v>270889.6</v>
      </c>
      <c r="G442" s="368">
        <f>G443</f>
        <v>241891</v>
      </c>
      <c r="H442" s="202"/>
    </row>
    <row r="443" spans="1:8" ht="15.75">
      <c r="A443" s="78" t="s">
        <v>222</v>
      </c>
      <c r="B443" s="6" t="s">
        <v>280</v>
      </c>
      <c r="C443" s="6"/>
      <c r="D443" s="7"/>
      <c r="E443" s="345">
        <f>E444+E449+E461</f>
        <v>271914.7</v>
      </c>
      <c r="F443" s="345">
        <f>F444+F449+F461</f>
        <v>270889.6</v>
      </c>
      <c r="G443" s="373">
        <f>G444+G449+G461</f>
        <v>241891</v>
      </c>
      <c r="H443" s="202"/>
    </row>
    <row r="444" spans="1:8" ht="30.75">
      <c r="A444" s="130" t="s">
        <v>278</v>
      </c>
      <c r="B444" s="135" t="s">
        <v>279</v>
      </c>
      <c r="C444" s="135"/>
      <c r="D444" s="136"/>
      <c r="E444" s="278">
        <f>E445+E447</f>
        <v>183799.5</v>
      </c>
      <c r="F444" s="278">
        <f>F445+F447</f>
        <v>183557.5</v>
      </c>
      <c r="G444" s="285">
        <f>G445+G447</f>
        <v>154558.9</v>
      </c>
      <c r="H444" s="202"/>
    </row>
    <row r="445" spans="1:8" ht="15.75">
      <c r="A445" s="9" t="s">
        <v>282</v>
      </c>
      <c r="B445" s="10" t="s">
        <v>281</v>
      </c>
      <c r="C445" s="10"/>
      <c r="D445" s="11"/>
      <c r="E445" s="260">
        <f>E446</f>
        <v>159803.6</v>
      </c>
      <c r="F445" s="260">
        <f>F446</f>
        <v>157509.6</v>
      </c>
      <c r="G445" s="261">
        <f>G446</f>
        <v>137247.3</v>
      </c>
      <c r="H445" s="202"/>
    </row>
    <row r="446" spans="1:8" ht="15">
      <c r="A446" s="16" t="s">
        <v>151</v>
      </c>
      <c r="B446" s="17" t="s">
        <v>281</v>
      </c>
      <c r="C446" s="17" t="s">
        <v>150</v>
      </c>
      <c r="D446" s="17" t="s">
        <v>14</v>
      </c>
      <c r="E446" s="264">
        <v>159803.6</v>
      </c>
      <c r="F446" s="264">
        <v>157509.6</v>
      </c>
      <c r="G446" s="265">
        <v>137247.3</v>
      </c>
      <c r="H446" s="398"/>
    </row>
    <row r="447" spans="1:8" ht="30.75">
      <c r="A447" s="9" t="s">
        <v>184</v>
      </c>
      <c r="B447" s="10" t="s">
        <v>283</v>
      </c>
      <c r="C447" s="10"/>
      <c r="D447" s="11"/>
      <c r="E447" s="266">
        <f>E448</f>
        <v>23995.9</v>
      </c>
      <c r="F447" s="266">
        <f>F448</f>
        <v>26047.9</v>
      </c>
      <c r="G447" s="305">
        <f>G448</f>
        <v>17311.6</v>
      </c>
      <c r="H447" s="202"/>
    </row>
    <row r="448" spans="1:8" ht="15">
      <c r="A448" s="16" t="s">
        <v>151</v>
      </c>
      <c r="B448" s="17" t="s">
        <v>283</v>
      </c>
      <c r="C448" s="17" t="s">
        <v>150</v>
      </c>
      <c r="D448" s="17" t="s">
        <v>14</v>
      </c>
      <c r="E448" s="336">
        <v>23995.9</v>
      </c>
      <c r="F448" s="336">
        <v>26047.9</v>
      </c>
      <c r="G448" s="265">
        <v>17311.6</v>
      </c>
      <c r="H448" s="398"/>
    </row>
    <row r="449" spans="1:8" ht="30.75">
      <c r="A449" s="130" t="s">
        <v>284</v>
      </c>
      <c r="B449" s="135" t="s">
        <v>285</v>
      </c>
      <c r="C449" s="135"/>
      <c r="D449" s="136"/>
      <c r="E449" s="278">
        <f>E452+E459+E450</f>
        <v>87915.20000000001</v>
      </c>
      <c r="F449" s="278">
        <f>F452+F459</f>
        <v>87132.1</v>
      </c>
      <c r="G449" s="285">
        <f>G452+G459</f>
        <v>87132.1</v>
      </c>
      <c r="H449" s="202"/>
    </row>
    <row r="450" spans="1:8" ht="45.75">
      <c r="A450" s="9" t="s">
        <v>674</v>
      </c>
      <c r="B450" s="10" t="s">
        <v>673</v>
      </c>
      <c r="C450" s="10"/>
      <c r="D450" s="11"/>
      <c r="E450" s="260">
        <f>E451</f>
        <v>783.1</v>
      </c>
      <c r="F450" s="260">
        <f>F456</f>
        <v>0</v>
      </c>
      <c r="G450" s="260">
        <f>G456</f>
        <v>0</v>
      </c>
      <c r="H450" s="202"/>
    </row>
    <row r="451" spans="1:8" ht="15">
      <c r="A451" s="477" t="s">
        <v>151</v>
      </c>
      <c r="B451" s="478" t="s">
        <v>673</v>
      </c>
      <c r="C451" s="478" t="s">
        <v>150</v>
      </c>
      <c r="D451" s="478" t="s">
        <v>30</v>
      </c>
      <c r="E451" s="479">
        <v>783.1</v>
      </c>
      <c r="F451" s="479">
        <v>0</v>
      </c>
      <c r="G451" s="480">
        <v>0</v>
      </c>
      <c r="H451" s="202"/>
    </row>
    <row r="452" spans="1:8" ht="30.75">
      <c r="A452" s="9" t="s">
        <v>152</v>
      </c>
      <c r="B452" s="10" t="s">
        <v>286</v>
      </c>
      <c r="C452" s="10"/>
      <c r="D452" s="11"/>
      <c r="E452" s="260">
        <f>SUM(E453:E458)</f>
        <v>13000</v>
      </c>
      <c r="F452" s="260">
        <f>SUM(F453:F458)</f>
        <v>13000</v>
      </c>
      <c r="G452" s="260">
        <f>SUM(G453:G458)</f>
        <v>13000</v>
      </c>
      <c r="H452" s="202"/>
    </row>
    <row r="453" spans="1:8" ht="15">
      <c r="A453" s="170" t="s">
        <v>151</v>
      </c>
      <c r="B453" s="29" t="s">
        <v>286</v>
      </c>
      <c r="C453" s="29" t="s">
        <v>150</v>
      </c>
      <c r="D453" s="29" t="s">
        <v>13</v>
      </c>
      <c r="E453" s="271">
        <v>80</v>
      </c>
      <c r="F453" s="271">
        <v>0</v>
      </c>
      <c r="G453" s="272">
        <v>0</v>
      </c>
      <c r="H453" s="202"/>
    </row>
    <row r="454" spans="1:8" ht="15">
      <c r="A454" s="27" t="s">
        <v>151</v>
      </c>
      <c r="B454" s="28" t="s">
        <v>286</v>
      </c>
      <c r="C454" s="28" t="s">
        <v>150</v>
      </c>
      <c r="D454" s="28" t="s">
        <v>16</v>
      </c>
      <c r="E454" s="269">
        <v>4631.8</v>
      </c>
      <c r="F454" s="269">
        <v>0</v>
      </c>
      <c r="G454" s="275">
        <v>0</v>
      </c>
      <c r="H454" s="202"/>
    </row>
    <row r="455" spans="1:8" ht="15">
      <c r="A455" s="27" t="s">
        <v>151</v>
      </c>
      <c r="B455" s="28" t="s">
        <v>286</v>
      </c>
      <c r="C455" s="28" t="s">
        <v>150</v>
      </c>
      <c r="D455" s="28" t="s">
        <v>670</v>
      </c>
      <c r="E455" s="269">
        <v>240</v>
      </c>
      <c r="F455" s="269">
        <v>0</v>
      </c>
      <c r="G455" s="275">
        <v>0</v>
      </c>
      <c r="H455" s="202"/>
    </row>
    <row r="456" spans="1:8" ht="15">
      <c r="A456" s="27" t="s">
        <v>151</v>
      </c>
      <c r="B456" s="28" t="s">
        <v>286</v>
      </c>
      <c r="C456" s="28" t="s">
        <v>150</v>
      </c>
      <c r="D456" s="28" t="s">
        <v>528</v>
      </c>
      <c r="E456" s="269">
        <v>2322</v>
      </c>
      <c r="F456" s="269">
        <v>0</v>
      </c>
      <c r="G456" s="275">
        <v>0</v>
      </c>
      <c r="H456" s="202"/>
    </row>
    <row r="457" spans="1:8" ht="15">
      <c r="A457" s="27" t="s">
        <v>151</v>
      </c>
      <c r="B457" s="28" t="s">
        <v>286</v>
      </c>
      <c r="C457" s="28" t="s">
        <v>150</v>
      </c>
      <c r="D457" s="28" t="s">
        <v>30</v>
      </c>
      <c r="E457" s="269">
        <v>165</v>
      </c>
      <c r="F457" s="269">
        <v>0</v>
      </c>
      <c r="G457" s="275">
        <v>0</v>
      </c>
      <c r="H457" s="202"/>
    </row>
    <row r="458" spans="1:8" ht="15">
      <c r="A458" s="23" t="s">
        <v>151</v>
      </c>
      <c r="B458" s="24" t="s">
        <v>286</v>
      </c>
      <c r="C458" s="24" t="s">
        <v>150</v>
      </c>
      <c r="D458" s="24" t="s">
        <v>130</v>
      </c>
      <c r="E458" s="274">
        <f>13000-2807-4631.8</f>
        <v>5561.2</v>
      </c>
      <c r="F458" s="274">
        <v>13000</v>
      </c>
      <c r="G458" s="320">
        <v>13000</v>
      </c>
      <c r="H458" s="202"/>
    </row>
    <row r="459" spans="1:8" ht="45.75">
      <c r="A459" s="9" t="s">
        <v>183</v>
      </c>
      <c r="B459" s="10" t="s">
        <v>287</v>
      </c>
      <c r="C459" s="10"/>
      <c r="D459" s="11"/>
      <c r="E459" s="260">
        <f>SUM(E460:E460)</f>
        <v>74132.1</v>
      </c>
      <c r="F459" s="260">
        <f>SUM(F460:F460)</f>
        <v>74132.1</v>
      </c>
      <c r="G459" s="260">
        <f>SUM(G460:G460)</f>
        <v>74132.1</v>
      </c>
      <c r="H459" s="202"/>
    </row>
    <row r="460" spans="1:8" ht="15">
      <c r="A460" s="23" t="s">
        <v>151</v>
      </c>
      <c r="B460" s="24" t="s">
        <v>287</v>
      </c>
      <c r="C460" s="24" t="s">
        <v>150</v>
      </c>
      <c r="D460" s="24" t="s">
        <v>130</v>
      </c>
      <c r="E460" s="274">
        <v>74132.1</v>
      </c>
      <c r="F460" s="274">
        <v>74132.1</v>
      </c>
      <c r="G460" s="274">
        <v>74132.1</v>
      </c>
      <c r="H460" s="202"/>
    </row>
    <row r="461" spans="1:8" ht="30.75">
      <c r="A461" s="130" t="s">
        <v>290</v>
      </c>
      <c r="B461" s="135" t="s">
        <v>288</v>
      </c>
      <c r="C461" s="135"/>
      <c r="D461" s="136"/>
      <c r="E461" s="278">
        <f aca="true" t="shared" si="21" ref="E461:G462">E462</f>
        <v>200</v>
      </c>
      <c r="F461" s="278">
        <f t="shared" si="21"/>
        <v>200</v>
      </c>
      <c r="G461" s="285">
        <f t="shared" si="21"/>
        <v>200</v>
      </c>
      <c r="H461" s="202"/>
    </row>
    <row r="462" spans="1:8" ht="15.75">
      <c r="A462" s="9" t="s">
        <v>113</v>
      </c>
      <c r="B462" s="10" t="s">
        <v>289</v>
      </c>
      <c r="C462" s="10"/>
      <c r="D462" s="11"/>
      <c r="E462" s="266">
        <f t="shared" si="21"/>
        <v>200</v>
      </c>
      <c r="F462" s="266">
        <f t="shared" si="21"/>
        <v>200</v>
      </c>
      <c r="G462" s="305">
        <f t="shared" si="21"/>
        <v>200</v>
      </c>
      <c r="H462" s="202"/>
    </row>
    <row r="463" spans="1:8" ht="15">
      <c r="A463" s="16" t="s">
        <v>149</v>
      </c>
      <c r="B463" s="17" t="s">
        <v>289</v>
      </c>
      <c r="C463" s="160" t="s">
        <v>148</v>
      </c>
      <c r="D463" s="160" t="s">
        <v>12</v>
      </c>
      <c r="E463" s="264">
        <v>200</v>
      </c>
      <c r="F463" s="264">
        <v>200</v>
      </c>
      <c r="G463" s="265">
        <v>200</v>
      </c>
      <c r="H463" s="202"/>
    </row>
    <row r="464" spans="1:7" ht="45.75">
      <c r="A464" s="51" t="s">
        <v>190</v>
      </c>
      <c r="B464" s="67" t="s">
        <v>270</v>
      </c>
      <c r="C464" s="67"/>
      <c r="D464" s="68"/>
      <c r="E464" s="281">
        <f aca="true" t="shared" si="22" ref="E464:G465">E465</f>
        <v>1859.6</v>
      </c>
      <c r="F464" s="281">
        <f t="shared" si="22"/>
        <v>1679.9</v>
      </c>
      <c r="G464" s="281">
        <f t="shared" si="22"/>
        <v>1029.9</v>
      </c>
    </row>
    <row r="465" spans="1:7" ht="15.75">
      <c r="A465" s="82" t="s">
        <v>222</v>
      </c>
      <c r="B465" s="83" t="s">
        <v>271</v>
      </c>
      <c r="C465" s="84"/>
      <c r="D465" s="85"/>
      <c r="E465" s="283">
        <f t="shared" si="22"/>
        <v>1859.6</v>
      </c>
      <c r="F465" s="283">
        <f t="shared" si="22"/>
        <v>1679.9</v>
      </c>
      <c r="G465" s="284">
        <f t="shared" si="22"/>
        <v>1029.9</v>
      </c>
    </row>
    <row r="466" spans="1:7" ht="30.75">
      <c r="A466" s="130" t="s">
        <v>493</v>
      </c>
      <c r="B466" s="135" t="s">
        <v>272</v>
      </c>
      <c r="C466" s="135"/>
      <c r="D466" s="136"/>
      <c r="E466" s="278">
        <f>E467+E471+E469+E475+E473</f>
        <v>1859.6</v>
      </c>
      <c r="F466" s="278">
        <f>F467+F471+F469+F475+F473</f>
        <v>1679.9</v>
      </c>
      <c r="G466" s="278">
        <f>G467+G471+G469+G475+G473</f>
        <v>1029.9</v>
      </c>
    </row>
    <row r="467" spans="1:8" ht="30.75">
      <c r="A467" s="161" t="s">
        <v>348</v>
      </c>
      <c r="B467" s="49" t="s">
        <v>273</v>
      </c>
      <c r="C467" s="49"/>
      <c r="D467" s="50"/>
      <c r="E467" s="376">
        <f>E468</f>
        <v>330</v>
      </c>
      <c r="F467" s="286">
        <f>F468</f>
        <v>330</v>
      </c>
      <c r="G467" s="287">
        <f>G468</f>
        <v>330</v>
      </c>
      <c r="H467" s="202"/>
    </row>
    <row r="468" spans="1:8" ht="15">
      <c r="A468" s="16" t="s">
        <v>146</v>
      </c>
      <c r="B468" s="17" t="s">
        <v>273</v>
      </c>
      <c r="C468" s="17" t="s">
        <v>143</v>
      </c>
      <c r="D468" s="17" t="s">
        <v>193</v>
      </c>
      <c r="E468" s="336">
        <v>330</v>
      </c>
      <c r="F468" s="264">
        <v>330</v>
      </c>
      <c r="G468" s="265">
        <v>330</v>
      </c>
      <c r="H468" s="202"/>
    </row>
    <row r="469" spans="1:8" ht="45.75">
      <c r="A469" s="161" t="s">
        <v>274</v>
      </c>
      <c r="B469" s="153" t="s">
        <v>606</v>
      </c>
      <c r="C469" s="49"/>
      <c r="D469" s="50"/>
      <c r="E469" s="376">
        <f>E470</f>
        <v>650</v>
      </c>
      <c r="F469" s="286">
        <f>F470</f>
        <v>650</v>
      </c>
      <c r="G469" s="287">
        <f>G470</f>
        <v>0</v>
      </c>
      <c r="H469" s="202"/>
    </row>
    <row r="470" spans="1:8" ht="15">
      <c r="A470" s="16" t="s">
        <v>146</v>
      </c>
      <c r="B470" s="18" t="s">
        <v>606</v>
      </c>
      <c r="C470" s="17" t="s">
        <v>143</v>
      </c>
      <c r="D470" s="17" t="s">
        <v>25</v>
      </c>
      <c r="E470" s="336">
        <v>650</v>
      </c>
      <c r="F470" s="264">
        <v>650</v>
      </c>
      <c r="G470" s="265">
        <v>0</v>
      </c>
      <c r="H470" s="202"/>
    </row>
    <row r="471" spans="1:8" ht="15.75">
      <c r="A471" s="9" t="s">
        <v>194</v>
      </c>
      <c r="B471" s="49" t="s">
        <v>275</v>
      </c>
      <c r="C471" s="10"/>
      <c r="D471" s="11"/>
      <c r="E471" s="266">
        <f>SUM(E472:E472)</f>
        <v>627.1</v>
      </c>
      <c r="F471" s="260">
        <f>SUM(F472:F472)</f>
        <v>612.5</v>
      </c>
      <c r="G471" s="261">
        <f>SUM(G472:G472)</f>
        <v>612.5</v>
      </c>
      <c r="H471" s="202"/>
    </row>
    <row r="472" spans="1:8" ht="15">
      <c r="A472" s="16" t="s">
        <v>146</v>
      </c>
      <c r="B472" s="17" t="s">
        <v>275</v>
      </c>
      <c r="C472" s="17" t="s">
        <v>143</v>
      </c>
      <c r="D472" s="17" t="s">
        <v>193</v>
      </c>
      <c r="E472" s="336">
        <f>699.9-72.8</f>
        <v>627.1</v>
      </c>
      <c r="F472" s="264">
        <f>699.9-87.4</f>
        <v>612.5</v>
      </c>
      <c r="G472" s="265">
        <f>699.9-87.4</f>
        <v>612.5</v>
      </c>
      <c r="H472" s="202"/>
    </row>
    <row r="473" spans="1:8" ht="30.75">
      <c r="A473" s="404" t="s">
        <v>677</v>
      </c>
      <c r="B473" s="97" t="s">
        <v>678</v>
      </c>
      <c r="C473" s="162"/>
      <c r="D473" s="162"/>
      <c r="E473" s="341">
        <f>E474</f>
        <v>72.8</v>
      </c>
      <c r="F473" s="341">
        <f>F474</f>
        <v>87.4</v>
      </c>
      <c r="G473" s="341">
        <f>G474</f>
        <v>87.4</v>
      </c>
      <c r="H473" s="202"/>
    </row>
    <row r="474" spans="1:8" ht="15">
      <c r="A474" s="241" t="s">
        <v>146</v>
      </c>
      <c r="B474" s="95" t="s">
        <v>678</v>
      </c>
      <c r="C474" s="163" t="s">
        <v>143</v>
      </c>
      <c r="D474" s="163" t="s">
        <v>193</v>
      </c>
      <c r="E474" s="343">
        <v>72.8</v>
      </c>
      <c r="F474" s="299">
        <v>87.4</v>
      </c>
      <c r="G474" s="300">
        <v>87.4</v>
      </c>
      <c r="H474" s="202"/>
    </row>
    <row r="475" spans="1:8" ht="29.25" customHeight="1">
      <c r="A475" s="9" t="s">
        <v>660</v>
      </c>
      <c r="B475" s="49" t="s">
        <v>659</v>
      </c>
      <c r="C475" s="10"/>
      <c r="D475" s="11"/>
      <c r="E475" s="266">
        <f>SUM(E476:E476)</f>
        <v>179.7</v>
      </c>
      <c r="F475" s="260">
        <f>SUM(F476:F476)</f>
        <v>0</v>
      </c>
      <c r="G475" s="261">
        <f>SUM(G476:G476)</f>
        <v>0</v>
      </c>
      <c r="H475" s="202"/>
    </row>
    <row r="476" spans="1:8" ht="15">
      <c r="A476" s="16" t="s">
        <v>146</v>
      </c>
      <c r="B476" s="17" t="s">
        <v>659</v>
      </c>
      <c r="C476" s="17" t="s">
        <v>143</v>
      </c>
      <c r="D476" s="17" t="s">
        <v>193</v>
      </c>
      <c r="E476" s="336">
        <f>40.1+139.6</f>
        <v>179.7</v>
      </c>
      <c r="F476" s="264">
        <v>0</v>
      </c>
      <c r="G476" s="265">
        <v>0</v>
      </c>
      <c r="H476" s="202"/>
    </row>
    <row r="477" spans="1:8" ht="60.75">
      <c r="A477" s="110" t="s">
        <v>192</v>
      </c>
      <c r="B477" s="106" t="s">
        <v>352</v>
      </c>
      <c r="C477" s="107"/>
      <c r="D477" s="106"/>
      <c r="E477" s="290">
        <f>E478</f>
        <v>94630.4</v>
      </c>
      <c r="F477" s="290">
        <f>F478</f>
        <v>84594.59999999999</v>
      </c>
      <c r="G477" s="290">
        <f>G478</f>
        <v>84594.59999999999</v>
      </c>
      <c r="H477" s="202"/>
    </row>
    <row r="478" spans="1:8" ht="15.75">
      <c r="A478" s="78" t="s">
        <v>222</v>
      </c>
      <c r="B478" s="6" t="s">
        <v>354</v>
      </c>
      <c r="C478" s="6"/>
      <c r="D478" s="7"/>
      <c r="E478" s="345">
        <f>E479+E482</f>
        <v>94630.4</v>
      </c>
      <c r="F478" s="345">
        <f>F479+F482</f>
        <v>84594.59999999999</v>
      </c>
      <c r="G478" s="373">
        <f>G479+G482</f>
        <v>84594.59999999999</v>
      </c>
      <c r="H478" s="202"/>
    </row>
    <row r="479" spans="1:8" ht="30.75">
      <c r="A479" s="130" t="s">
        <v>355</v>
      </c>
      <c r="B479" s="135" t="s">
        <v>353</v>
      </c>
      <c r="C479" s="135"/>
      <c r="D479" s="136"/>
      <c r="E479" s="278">
        <f>E480</f>
        <v>75736.4</v>
      </c>
      <c r="F479" s="278">
        <f aca="true" t="shared" si="23" ref="E479:G480">F480</f>
        <v>75736.4</v>
      </c>
      <c r="G479" s="285">
        <f t="shared" si="23"/>
        <v>75736.4</v>
      </c>
      <c r="H479" s="202"/>
    </row>
    <row r="480" spans="1:8" ht="18">
      <c r="A480" s="9" t="s">
        <v>186</v>
      </c>
      <c r="B480" s="10" t="s">
        <v>356</v>
      </c>
      <c r="C480" s="75"/>
      <c r="D480" s="10"/>
      <c r="E480" s="260">
        <f t="shared" si="23"/>
        <v>75736.4</v>
      </c>
      <c r="F480" s="260">
        <f t="shared" si="23"/>
        <v>75736.4</v>
      </c>
      <c r="G480" s="261">
        <f t="shared" si="23"/>
        <v>75736.4</v>
      </c>
      <c r="H480" s="202"/>
    </row>
    <row r="481" spans="1:8" ht="15">
      <c r="A481" s="16" t="s">
        <v>146</v>
      </c>
      <c r="B481" s="17" t="s">
        <v>356</v>
      </c>
      <c r="C481" s="17" t="s">
        <v>143</v>
      </c>
      <c r="D481" s="17" t="s">
        <v>187</v>
      </c>
      <c r="E481" s="264">
        <v>75736.4</v>
      </c>
      <c r="F481" s="264">
        <v>75736.4</v>
      </c>
      <c r="G481" s="264">
        <v>75736.4</v>
      </c>
      <c r="H481" s="202"/>
    </row>
    <row r="482" spans="1:8" ht="30.75">
      <c r="A482" s="130" t="s">
        <v>357</v>
      </c>
      <c r="B482" s="135" t="s">
        <v>358</v>
      </c>
      <c r="C482" s="135"/>
      <c r="D482" s="136"/>
      <c r="E482" s="278">
        <f>E483+E485+E487</f>
        <v>18894</v>
      </c>
      <c r="F482" s="278">
        <f>F483+F485+F487</f>
        <v>8858.2</v>
      </c>
      <c r="G482" s="278">
        <f>G483+G485+G487</f>
        <v>8858.2</v>
      </c>
      <c r="H482" s="202"/>
    </row>
    <row r="483" spans="1:8" ht="18">
      <c r="A483" s="9" t="s">
        <v>112</v>
      </c>
      <c r="B483" s="10" t="s">
        <v>359</v>
      </c>
      <c r="C483" s="75"/>
      <c r="D483" s="10"/>
      <c r="E483" s="260">
        <f>E484</f>
        <v>13357.099999999999</v>
      </c>
      <c r="F483" s="260">
        <f>F484</f>
        <v>3590.3</v>
      </c>
      <c r="G483" s="261">
        <f>G484</f>
        <v>3590.3</v>
      </c>
      <c r="H483" s="202"/>
    </row>
    <row r="484" spans="1:8" ht="15">
      <c r="A484" s="16" t="s">
        <v>146</v>
      </c>
      <c r="B484" s="17" t="s">
        <v>359</v>
      </c>
      <c r="C484" s="17" t="s">
        <v>143</v>
      </c>
      <c r="D484" s="17" t="s">
        <v>39</v>
      </c>
      <c r="E484" s="264">
        <f>3590.3+8100+1666.8</f>
        <v>13357.099999999999</v>
      </c>
      <c r="F484" s="264">
        <v>3590.3</v>
      </c>
      <c r="G484" s="265">
        <v>3590.3</v>
      </c>
      <c r="H484" s="202"/>
    </row>
    <row r="485" spans="1:8" ht="18">
      <c r="A485" s="9" t="s">
        <v>164</v>
      </c>
      <c r="B485" s="10" t="s">
        <v>360</v>
      </c>
      <c r="C485" s="75"/>
      <c r="D485" s="10"/>
      <c r="E485" s="260">
        <f>E486</f>
        <v>568</v>
      </c>
      <c r="F485" s="260">
        <f>F486</f>
        <v>568</v>
      </c>
      <c r="G485" s="261">
        <f>G486</f>
        <v>568</v>
      </c>
      <c r="H485" s="202"/>
    </row>
    <row r="486" spans="1:8" ht="15">
      <c r="A486" s="16" t="s">
        <v>146</v>
      </c>
      <c r="B486" s="17" t="s">
        <v>360</v>
      </c>
      <c r="C486" s="17" t="s">
        <v>143</v>
      </c>
      <c r="D486" s="17" t="s">
        <v>39</v>
      </c>
      <c r="E486" s="264">
        <v>568</v>
      </c>
      <c r="F486" s="264">
        <v>568</v>
      </c>
      <c r="G486" s="265">
        <v>568</v>
      </c>
      <c r="H486" s="202"/>
    </row>
    <row r="487" spans="1:8" ht="30.75">
      <c r="A487" s="164" t="s">
        <v>361</v>
      </c>
      <c r="B487" s="42" t="s">
        <v>362</v>
      </c>
      <c r="C487" s="63"/>
      <c r="D487" s="42"/>
      <c r="E487" s="293">
        <f>E488</f>
        <v>4968.9</v>
      </c>
      <c r="F487" s="293">
        <f>F488</f>
        <v>4699.9</v>
      </c>
      <c r="G487" s="294">
        <f>G488</f>
        <v>4699.9</v>
      </c>
      <c r="H487" s="202"/>
    </row>
    <row r="488" spans="1:8" ht="15">
      <c r="A488" s="16" t="s">
        <v>151</v>
      </c>
      <c r="B488" s="17" t="s">
        <v>362</v>
      </c>
      <c r="C488" s="17" t="s">
        <v>150</v>
      </c>
      <c r="D488" s="17" t="s">
        <v>39</v>
      </c>
      <c r="E488" s="264">
        <f>4699.9+269</f>
        <v>4968.9</v>
      </c>
      <c r="F488" s="264">
        <v>4699.9</v>
      </c>
      <c r="G488" s="265">
        <v>4699.9</v>
      </c>
      <c r="H488" s="202"/>
    </row>
    <row r="489" spans="1:8" ht="30.75">
      <c r="A489" s="66" t="s">
        <v>2</v>
      </c>
      <c r="B489" s="67" t="s">
        <v>420</v>
      </c>
      <c r="C489" s="67"/>
      <c r="D489" s="68"/>
      <c r="E489" s="281">
        <f>E490</f>
        <v>2111.4</v>
      </c>
      <c r="F489" s="281">
        <f>F490</f>
        <v>3319.2</v>
      </c>
      <c r="G489" s="282">
        <f>G490</f>
        <v>3319</v>
      </c>
      <c r="H489" s="202"/>
    </row>
    <row r="490" spans="1:8" ht="15.75">
      <c r="A490" s="78" t="s">
        <v>222</v>
      </c>
      <c r="B490" s="6" t="s">
        <v>421</v>
      </c>
      <c r="C490" s="6"/>
      <c r="D490" s="7"/>
      <c r="E490" s="345">
        <f>E491+E505+E509+E513+E523+E501</f>
        <v>2111.4</v>
      </c>
      <c r="F490" s="345">
        <f>F491+F505+F509+F513+F523+F501</f>
        <v>3319.2</v>
      </c>
      <c r="G490" s="345">
        <f>G491+G505+G509+G513+G523+G501</f>
        <v>3319</v>
      </c>
      <c r="H490" s="202"/>
    </row>
    <row r="491" spans="1:8" ht="30.75">
      <c r="A491" s="130" t="s">
        <v>619</v>
      </c>
      <c r="B491" s="135" t="s">
        <v>422</v>
      </c>
      <c r="C491" s="135"/>
      <c r="D491" s="136"/>
      <c r="E491" s="278">
        <f>E492+E495+E499</f>
        <v>369.3</v>
      </c>
      <c r="F491" s="278">
        <f>F492+F495+F499</f>
        <v>1166.2</v>
      </c>
      <c r="G491" s="285">
        <f>G492+G495+G499</f>
        <v>1166</v>
      </c>
      <c r="H491" s="202"/>
    </row>
    <row r="492" spans="1:10" ht="15.75">
      <c r="A492" s="9" t="s">
        <v>423</v>
      </c>
      <c r="B492" s="10" t="s">
        <v>427</v>
      </c>
      <c r="C492" s="10"/>
      <c r="D492" s="11"/>
      <c r="E492" s="266">
        <f>SUM(E493:E494)</f>
        <v>47</v>
      </c>
      <c r="F492" s="266">
        <f>SUM(F493:F494)</f>
        <v>212.2</v>
      </c>
      <c r="G492" s="266">
        <f>SUM(G493:G494)</f>
        <v>212</v>
      </c>
      <c r="H492" s="205"/>
      <c r="I492" s="46"/>
      <c r="J492" s="46"/>
    </row>
    <row r="493" spans="1:10" ht="15">
      <c r="A493" s="243" t="s">
        <v>146</v>
      </c>
      <c r="B493" s="150" t="s">
        <v>427</v>
      </c>
      <c r="C493" s="150" t="s">
        <v>143</v>
      </c>
      <c r="D493" s="150" t="s">
        <v>26</v>
      </c>
      <c r="E493" s="377">
        <v>15</v>
      </c>
      <c r="F493" s="377">
        <v>212.2</v>
      </c>
      <c r="G493" s="378">
        <v>212</v>
      </c>
      <c r="H493" s="206"/>
      <c r="I493" s="47"/>
      <c r="J493" s="47"/>
    </row>
    <row r="494" spans="1:10" ht="15">
      <c r="A494" s="16" t="s">
        <v>155</v>
      </c>
      <c r="B494" s="17" t="s">
        <v>427</v>
      </c>
      <c r="C494" s="17" t="s">
        <v>154</v>
      </c>
      <c r="D494" s="17" t="s">
        <v>26</v>
      </c>
      <c r="E494" s="264">
        <v>32</v>
      </c>
      <c r="F494" s="264">
        <v>0</v>
      </c>
      <c r="G494" s="265">
        <v>0</v>
      </c>
      <c r="H494" s="207"/>
      <c r="I494" s="45"/>
      <c r="J494" s="45"/>
    </row>
    <row r="495" spans="1:8" ht="30.75">
      <c r="A495" s="9" t="s">
        <v>501</v>
      </c>
      <c r="B495" s="10" t="s">
        <v>424</v>
      </c>
      <c r="C495" s="10"/>
      <c r="D495" s="11"/>
      <c r="E495" s="266">
        <f>SUM(E496:E498)</f>
        <v>322.3</v>
      </c>
      <c r="F495" s="266">
        <f>SUM(F496:F498)</f>
        <v>132</v>
      </c>
      <c r="G495" s="305">
        <f>SUM(G496:G498)</f>
        <v>132</v>
      </c>
      <c r="H495" s="202"/>
    </row>
    <row r="496" spans="1:8" ht="15">
      <c r="A496" s="25" t="s">
        <v>146</v>
      </c>
      <c r="B496" s="26" t="s">
        <v>424</v>
      </c>
      <c r="C496" s="26" t="s">
        <v>143</v>
      </c>
      <c r="D496" s="26" t="s">
        <v>26</v>
      </c>
      <c r="E496" s="379">
        <v>290.5</v>
      </c>
      <c r="F496" s="379">
        <v>0</v>
      </c>
      <c r="G496" s="380">
        <v>0</v>
      </c>
      <c r="H496" s="202"/>
    </row>
    <row r="497" spans="1:8" ht="15">
      <c r="A497" s="27" t="s">
        <v>146</v>
      </c>
      <c r="B497" s="28" t="s">
        <v>424</v>
      </c>
      <c r="C497" s="28" t="s">
        <v>143</v>
      </c>
      <c r="D497" s="28" t="s">
        <v>27</v>
      </c>
      <c r="E497" s="307">
        <v>6</v>
      </c>
      <c r="F497" s="307">
        <v>132</v>
      </c>
      <c r="G497" s="308">
        <v>132</v>
      </c>
      <c r="H497" s="202"/>
    </row>
    <row r="498" spans="1:8" ht="15">
      <c r="A498" s="23" t="s">
        <v>155</v>
      </c>
      <c r="B498" s="24" t="s">
        <v>424</v>
      </c>
      <c r="C498" s="24" t="s">
        <v>154</v>
      </c>
      <c r="D498" s="24" t="s">
        <v>27</v>
      </c>
      <c r="E498" s="309">
        <v>25.8</v>
      </c>
      <c r="F498" s="309">
        <v>0</v>
      </c>
      <c r="G498" s="310">
        <v>0</v>
      </c>
      <c r="H498" s="202"/>
    </row>
    <row r="499" spans="1:8" ht="30.75">
      <c r="A499" s="9" t="s">
        <v>425</v>
      </c>
      <c r="B499" s="20" t="s">
        <v>426</v>
      </c>
      <c r="C499" s="20"/>
      <c r="D499" s="21"/>
      <c r="E499" s="260">
        <f>SUM(E500:E500)</f>
        <v>0</v>
      </c>
      <c r="F499" s="260">
        <f>SUM(F500:F500)</f>
        <v>822</v>
      </c>
      <c r="G499" s="261">
        <f>SUM(G500:G500)</f>
        <v>822</v>
      </c>
      <c r="H499" s="202"/>
    </row>
    <row r="500" spans="1:8" ht="15">
      <c r="A500" s="165" t="s">
        <v>146</v>
      </c>
      <c r="B500" s="166" t="s">
        <v>426</v>
      </c>
      <c r="C500" s="166" t="s">
        <v>143</v>
      </c>
      <c r="D500" s="166" t="s">
        <v>126</v>
      </c>
      <c r="E500" s="381">
        <v>0</v>
      </c>
      <c r="F500" s="381">
        <v>822</v>
      </c>
      <c r="G500" s="382">
        <v>822</v>
      </c>
      <c r="H500" s="202"/>
    </row>
    <row r="501" spans="1:8" ht="45.75">
      <c r="A501" s="130" t="s">
        <v>614</v>
      </c>
      <c r="B501" s="135" t="s">
        <v>569</v>
      </c>
      <c r="C501" s="135"/>
      <c r="D501" s="136"/>
      <c r="E501" s="278">
        <f>E502</f>
        <v>65.6</v>
      </c>
      <c r="F501" s="278">
        <f>F502</f>
        <v>0</v>
      </c>
      <c r="G501" s="285">
        <f>G502</f>
        <v>0</v>
      </c>
      <c r="H501" s="204"/>
    </row>
    <row r="502" spans="1:8" ht="30.75">
      <c r="A502" s="9" t="s">
        <v>613</v>
      </c>
      <c r="B502" s="10" t="s">
        <v>570</v>
      </c>
      <c r="C502" s="10"/>
      <c r="D502" s="11"/>
      <c r="E502" s="266">
        <f>SUM(E503:E504)</f>
        <v>65.6</v>
      </c>
      <c r="F502" s="266">
        <f>SUM(F503:F504)</f>
        <v>0</v>
      </c>
      <c r="G502" s="266">
        <f>SUM(G503:G504)</f>
        <v>0</v>
      </c>
      <c r="H502" s="204"/>
    </row>
    <row r="503" spans="1:8" ht="15">
      <c r="A503" s="170" t="s">
        <v>146</v>
      </c>
      <c r="B503" s="29" t="s">
        <v>570</v>
      </c>
      <c r="C503" s="29" t="s">
        <v>143</v>
      </c>
      <c r="D503" s="29" t="s">
        <v>30</v>
      </c>
      <c r="E503" s="271">
        <v>5.6</v>
      </c>
      <c r="F503" s="271">
        <v>0</v>
      </c>
      <c r="G503" s="272">
        <v>0</v>
      </c>
      <c r="H503" s="202"/>
    </row>
    <row r="504" spans="1:8" ht="15">
      <c r="A504" s="23" t="s">
        <v>155</v>
      </c>
      <c r="B504" s="24" t="s">
        <v>570</v>
      </c>
      <c r="C504" s="24" t="s">
        <v>154</v>
      </c>
      <c r="D504" s="24" t="s">
        <v>126</v>
      </c>
      <c r="E504" s="274">
        <v>60</v>
      </c>
      <c r="F504" s="274">
        <v>0</v>
      </c>
      <c r="G504" s="320">
        <v>0</v>
      </c>
      <c r="H504" s="202"/>
    </row>
    <row r="505" spans="1:8" ht="30.75">
      <c r="A505" s="130" t="s">
        <v>620</v>
      </c>
      <c r="B505" s="135" t="s">
        <v>428</v>
      </c>
      <c r="C505" s="135"/>
      <c r="D505" s="136"/>
      <c r="E505" s="278">
        <f>E506</f>
        <v>517.8</v>
      </c>
      <c r="F505" s="278">
        <f>F506</f>
        <v>325</v>
      </c>
      <c r="G505" s="285">
        <f>G506</f>
        <v>325</v>
      </c>
      <c r="H505" s="204"/>
    </row>
    <row r="506" spans="1:8" ht="30.75">
      <c r="A506" s="9" t="s">
        <v>621</v>
      </c>
      <c r="B506" s="10" t="s">
        <v>429</v>
      </c>
      <c r="C506" s="10"/>
      <c r="D506" s="11"/>
      <c r="E506" s="266">
        <f>SUM(E507:E508)</f>
        <v>517.8</v>
      </c>
      <c r="F506" s="266">
        <f>SUM(F507:F508)</f>
        <v>325</v>
      </c>
      <c r="G506" s="305">
        <f>SUM(G507:G508)</f>
        <v>325</v>
      </c>
      <c r="H506" s="204"/>
    </row>
    <row r="507" spans="1:8" ht="15">
      <c r="A507" s="25" t="s">
        <v>146</v>
      </c>
      <c r="B507" s="26" t="s">
        <v>429</v>
      </c>
      <c r="C507" s="26" t="s">
        <v>143</v>
      </c>
      <c r="D507" s="26" t="s">
        <v>26</v>
      </c>
      <c r="E507" s="268">
        <v>460</v>
      </c>
      <c r="F507" s="268">
        <v>325</v>
      </c>
      <c r="G507" s="306">
        <v>325</v>
      </c>
      <c r="H507" s="202"/>
    </row>
    <row r="508" spans="1:8" ht="15">
      <c r="A508" s="27" t="s">
        <v>155</v>
      </c>
      <c r="B508" s="28" t="s">
        <v>429</v>
      </c>
      <c r="C508" s="28" t="s">
        <v>154</v>
      </c>
      <c r="D508" s="28" t="s">
        <v>26</v>
      </c>
      <c r="E508" s="269">
        <v>57.8</v>
      </c>
      <c r="F508" s="269">
        <v>0</v>
      </c>
      <c r="G508" s="275">
        <v>0</v>
      </c>
      <c r="H508" s="202"/>
    </row>
    <row r="509" spans="1:8" ht="30.75">
      <c r="A509" s="130" t="s">
        <v>622</v>
      </c>
      <c r="B509" s="135" t="s">
        <v>430</v>
      </c>
      <c r="C509" s="135"/>
      <c r="D509" s="136"/>
      <c r="E509" s="278">
        <f>E510</f>
        <v>0</v>
      </c>
      <c r="F509" s="278">
        <f>F510</f>
        <v>323</v>
      </c>
      <c r="G509" s="285">
        <f>G510</f>
        <v>323</v>
      </c>
      <c r="H509" s="204"/>
    </row>
    <row r="510" spans="1:8" ht="15.75">
      <c r="A510" s="9" t="s">
        <v>431</v>
      </c>
      <c r="B510" s="10" t="s">
        <v>432</v>
      </c>
      <c r="C510" s="10"/>
      <c r="D510" s="11"/>
      <c r="E510" s="266">
        <f>SUM(E511:E512)</f>
        <v>0</v>
      </c>
      <c r="F510" s="266">
        <f>SUM(F511:F512)</f>
        <v>323</v>
      </c>
      <c r="G510" s="305">
        <f>SUM(G511:G512)</f>
        <v>323</v>
      </c>
      <c r="H510" s="202"/>
    </row>
    <row r="511" spans="1:8" ht="15">
      <c r="A511" s="170" t="s">
        <v>146</v>
      </c>
      <c r="B511" s="29" t="s">
        <v>432</v>
      </c>
      <c r="C511" s="29" t="s">
        <v>143</v>
      </c>
      <c r="D511" s="29" t="s">
        <v>26</v>
      </c>
      <c r="E511" s="271">
        <v>0</v>
      </c>
      <c r="F511" s="271">
        <v>323</v>
      </c>
      <c r="G511" s="272">
        <v>323</v>
      </c>
      <c r="H511" s="202"/>
    </row>
    <row r="512" spans="1:8" ht="15">
      <c r="A512" s="23" t="s">
        <v>155</v>
      </c>
      <c r="B512" s="24" t="s">
        <v>432</v>
      </c>
      <c r="C512" s="24" t="s">
        <v>154</v>
      </c>
      <c r="D512" s="24" t="s">
        <v>26</v>
      </c>
      <c r="E512" s="274">
        <v>0</v>
      </c>
      <c r="F512" s="274">
        <v>0</v>
      </c>
      <c r="G512" s="320">
        <v>0</v>
      </c>
      <c r="H512" s="202"/>
    </row>
    <row r="513" spans="1:8" ht="30.75">
      <c r="A513" s="130" t="s">
        <v>615</v>
      </c>
      <c r="B513" s="135" t="s">
        <v>434</v>
      </c>
      <c r="C513" s="135"/>
      <c r="D513" s="136"/>
      <c r="E513" s="278">
        <f>E521+E518+E516+E514</f>
        <v>94.7</v>
      </c>
      <c r="F513" s="278">
        <f>F521+F518+F516</f>
        <v>444</v>
      </c>
      <c r="G513" s="278">
        <f>G521+G518+G516</f>
        <v>444</v>
      </c>
      <c r="H513" s="204"/>
    </row>
    <row r="514" spans="1:8" ht="45.75">
      <c r="A514" s="9" t="s">
        <v>667</v>
      </c>
      <c r="B514" s="10" t="s">
        <v>666</v>
      </c>
      <c r="C514" s="10"/>
      <c r="D514" s="11"/>
      <c r="E514" s="266">
        <f>E515</f>
        <v>41.2</v>
      </c>
      <c r="F514" s="266">
        <f>F515</f>
        <v>0</v>
      </c>
      <c r="G514" s="266">
        <f>G515</f>
        <v>0</v>
      </c>
      <c r="H514" s="204"/>
    </row>
    <row r="515" spans="1:8" ht="15">
      <c r="A515" s="170" t="s">
        <v>146</v>
      </c>
      <c r="B515" s="29" t="s">
        <v>666</v>
      </c>
      <c r="C515" s="29" t="s">
        <v>143</v>
      </c>
      <c r="D515" s="29" t="s">
        <v>26</v>
      </c>
      <c r="E515" s="271">
        <v>41.2</v>
      </c>
      <c r="F515" s="271">
        <v>0</v>
      </c>
      <c r="G515" s="272"/>
      <c r="H515" s="204"/>
    </row>
    <row r="516" spans="1:8" ht="30.75">
      <c r="A516" s="9" t="s">
        <v>616</v>
      </c>
      <c r="B516" s="10" t="s">
        <v>571</v>
      </c>
      <c r="C516" s="10"/>
      <c r="D516" s="11"/>
      <c r="E516" s="266">
        <f>E517</f>
        <v>16.5</v>
      </c>
      <c r="F516" s="266">
        <f>F517</f>
        <v>0</v>
      </c>
      <c r="G516" s="266">
        <f>G517</f>
        <v>0</v>
      </c>
      <c r="H516" s="204"/>
    </row>
    <row r="517" spans="1:8" ht="15">
      <c r="A517" s="170" t="s">
        <v>146</v>
      </c>
      <c r="B517" s="29" t="s">
        <v>571</v>
      </c>
      <c r="C517" s="29" t="s">
        <v>143</v>
      </c>
      <c r="D517" s="29" t="s">
        <v>30</v>
      </c>
      <c r="E517" s="271">
        <v>16.5</v>
      </c>
      <c r="F517" s="271">
        <v>0</v>
      </c>
      <c r="G517" s="272"/>
      <c r="H517" s="202"/>
    </row>
    <row r="518" spans="1:8" ht="30.75">
      <c r="A518" s="9" t="s">
        <v>617</v>
      </c>
      <c r="B518" s="10" t="s">
        <v>436</v>
      </c>
      <c r="C518" s="10"/>
      <c r="D518" s="11"/>
      <c r="E518" s="266">
        <f>E519+E520</f>
        <v>37</v>
      </c>
      <c r="F518" s="266">
        <f>F519+F520</f>
        <v>38</v>
      </c>
      <c r="G518" s="305">
        <f>G519+G520</f>
        <v>38</v>
      </c>
      <c r="H518" s="204"/>
    </row>
    <row r="519" spans="1:8" ht="15">
      <c r="A519" s="170" t="s">
        <v>146</v>
      </c>
      <c r="B519" s="29" t="s">
        <v>436</v>
      </c>
      <c r="C519" s="29" t="s">
        <v>143</v>
      </c>
      <c r="D519" s="29" t="s">
        <v>26</v>
      </c>
      <c r="E519" s="271">
        <v>0</v>
      </c>
      <c r="F519" s="271">
        <v>38</v>
      </c>
      <c r="G519" s="272">
        <v>38</v>
      </c>
      <c r="H519" s="202"/>
    </row>
    <row r="520" spans="1:8" ht="15">
      <c r="A520" s="23" t="s">
        <v>155</v>
      </c>
      <c r="B520" s="24" t="s">
        <v>436</v>
      </c>
      <c r="C520" s="24" t="s">
        <v>154</v>
      </c>
      <c r="D520" s="24" t="s">
        <v>26</v>
      </c>
      <c r="E520" s="274">
        <v>37</v>
      </c>
      <c r="F520" s="274">
        <v>0</v>
      </c>
      <c r="G520" s="320">
        <v>0</v>
      </c>
      <c r="H520" s="202"/>
    </row>
    <row r="521" spans="1:8" ht="15.75">
      <c r="A521" s="167" t="s">
        <v>435</v>
      </c>
      <c r="B521" s="168" t="s">
        <v>433</v>
      </c>
      <c r="C521" s="168"/>
      <c r="D521" s="169"/>
      <c r="E521" s="383">
        <f>SUM(E522:E522)</f>
        <v>0</v>
      </c>
      <c r="F521" s="383">
        <f>SUM(F522:F522)</f>
        <v>406</v>
      </c>
      <c r="G521" s="384">
        <f>SUM(G522:G522)</f>
        <v>406</v>
      </c>
      <c r="H521" s="202"/>
    </row>
    <row r="522" spans="1:8" ht="15">
      <c r="A522" s="165" t="s">
        <v>146</v>
      </c>
      <c r="B522" s="166" t="s">
        <v>433</v>
      </c>
      <c r="C522" s="166" t="s">
        <v>143</v>
      </c>
      <c r="D522" s="166" t="s">
        <v>27</v>
      </c>
      <c r="E522" s="381">
        <v>0</v>
      </c>
      <c r="F522" s="381">
        <v>406</v>
      </c>
      <c r="G522" s="382">
        <v>406</v>
      </c>
      <c r="H522" s="202"/>
    </row>
    <row r="523" spans="1:8" ht="30.75">
      <c r="A523" s="130" t="s">
        <v>609</v>
      </c>
      <c r="B523" s="135" t="s">
        <v>437</v>
      </c>
      <c r="C523" s="135"/>
      <c r="D523" s="136"/>
      <c r="E523" s="278">
        <f>E524+E528</f>
        <v>1064</v>
      </c>
      <c r="F523" s="278">
        <f>F524+F528</f>
        <v>1061</v>
      </c>
      <c r="G523" s="278">
        <f>G524+G528</f>
        <v>1061</v>
      </c>
      <c r="H523" s="202"/>
    </row>
    <row r="524" spans="1:8" ht="15.75">
      <c r="A524" s="9" t="s">
        <v>439</v>
      </c>
      <c r="B524" s="10" t="s">
        <v>438</v>
      </c>
      <c r="C524" s="10"/>
      <c r="D524" s="11"/>
      <c r="E524" s="266">
        <f>SUM(E525:E527)</f>
        <v>1020</v>
      </c>
      <c r="F524" s="266">
        <f>SUM(F525:F527)</f>
        <v>1061</v>
      </c>
      <c r="G524" s="305">
        <f>SUM(G525:G527)</f>
        <v>1061</v>
      </c>
      <c r="H524" s="202"/>
    </row>
    <row r="525" spans="1:8" ht="15">
      <c r="A525" s="25" t="s">
        <v>146</v>
      </c>
      <c r="B525" s="26" t="s">
        <v>438</v>
      </c>
      <c r="C525" s="26" t="s">
        <v>143</v>
      </c>
      <c r="D525" s="26" t="s">
        <v>26</v>
      </c>
      <c r="E525" s="268">
        <v>220</v>
      </c>
      <c r="F525" s="268">
        <v>1061</v>
      </c>
      <c r="G525" s="306">
        <v>1061</v>
      </c>
      <c r="H525" s="202"/>
    </row>
    <row r="526" spans="1:8" ht="15">
      <c r="A526" s="27" t="s">
        <v>155</v>
      </c>
      <c r="B526" s="28" t="s">
        <v>438</v>
      </c>
      <c r="C526" s="28" t="s">
        <v>154</v>
      </c>
      <c r="D526" s="28" t="s">
        <v>26</v>
      </c>
      <c r="E526" s="269">
        <v>700</v>
      </c>
      <c r="F526" s="269">
        <v>0</v>
      </c>
      <c r="G526" s="275">
        <v>0</v>
      </c>
      <c r="H526" s="202"/>
    </row>
    <row r="527" spans="1:8" ht="15">
      <c r="A527" s="23" t="s">
        <v>155</v>
      </c>
      <c r="B527" s="24" t="s">
        <v>438</v>
      </c>
      <c r="C527" s="24" t="s">
        <v>154</v>
      </c>
      <c r="D527" s="24" t="s">
        <v>126</v>
      </c>
      <c r="E527" s="274">
        <v>100</v>
      </c>
      <c r="F527" s="274">
        <v>0</v>
      </c>
      <c r="G527" s="320">
        <v>0</v>
      </c>
      <c r="H527" s="202"/>
    </row>
    <row r="528" spans="1:8" ht="30.75">
      <c r="A528" s="9" t="s">
        <v>618</v>
      </c>
      <c r="B528" s="10" t="s">
        <v>607</v>
      </c>
      <c r="C528" s="10"/>
      <c r="D528" s="11"/>
      <c r="E528" s="266">
        <f>E529</f>
        <v>44</v>
      </c>
      <c r="F528" s="266">
        <f>F529</f>
        <v>0</v>
      </c>
      <c r="G528" s="266">
        <f>G529</f>
        <v>0</v>
      </c>
      <c r="H528" s="204"/>
    </row>
    <row r="529" spans="1:8" ht="15">
      <c r="A529" s="27" t="s">
        <v>155</v>
      </c>
      <c r="B529" s="28" t="s">
        <v>607</v>
      </c>
      <c r="C529" s="28" t="s">
        <v>154</v>
      </c>
      <c r="D529" s="28" t="s">
        <v>126</v>
      </c>
      <c r="E529" s="269">
        <v>44</v>
      </c>
      <c r="F529" s="269">
        <v>0</v>
      </c>
      <c r="G529" s="275">
        <v>0</v>
      </c>
      <c r="H529" s="202"/>
    </row>
    <row r="530" spans="1:8" ht="44.25" customHeight="1">
      <c r="A530" s="66" t="s">
        <v>118</v>
      </c>
      <c r="B530" s="67" t="s">
        <v>363</v>
      </c>
      <c r="C530" s="67"/>
      <c r="D530" s="68"/>
      <c r="E530" s="281">
        <f>E531</f>
        <v>3981.3</v>
      </c>
      <c r="F530" s="281">
        <f>F531</f>
        <v>3808.5</v>
      </c>
      <c r="G530" s="281">
        <f>G531</f>
        <v>3818.1000000000004</v>
      </c>
      <c r="H530" s="202"/>
    </row>
    <row r="531" spans="1:8" ht="15.75">
      <c r="A531" s="3" t="s">
        <v>222</v>
      </c>
      <c r="B531" s="4" t="s">
        <v>364</v>
      </c>
      <c r="C531" s="4"/>
      <c r="D531" s="5"/>
      <c r="E531" s="283">
        <f>E532+E539+E544</f>
        <v>3981.3</v>
      </c>
      <c r="F531" s="283">
        <f>F532+F539+F544</f>
        <v>3808.5</v>
      </c>
      <c r="G531" s="283">
        <f>G532+G539+G544</f>
        <v>3818.1000000000004</v>
      </c>
      <c r="H531" s="202"/>
    </row>
    <row r="532" spans="1:8" ht="15.75">
      <c r="A532" s="130" t="s">
        <v>365</v>
      </c>
      <c r="B532" s="135" t="s">
        <v>366</v>
      </c>
      <c r="C532" s="135"/>
      <c r="D532" s="136"/>
      <c r="E532" s="278">
        <f>E533+E535+E537</f>
        <v>643</v>
      </c>
      <c r="F532" s="278">
        <f>F533+F535+F537</f>
        <v>643</v>
      </c>
      <c r="G532" s="278">
        <f>G533+G535+G537</f>
        <v>643</v>
      </c>
      <c r="H532" s="202"/>
    </row>
    <row r="533" spans="1:8" ht="115.5" customHeight="1">
      <c r="A533" s="171" t="s">
        <v>519</v>
      </c>
      <c r="B533" s="172" t="s">
        <v>367</v>
      </c>
      <c r="C533" s="172"/>
      <c r="D533" s="173"/>
      <c r="E533" s="385">
        <f>E534</f>
        <v>253</v>
      </c>
      <c r="F533" s="385">
        <f>F534</f>
        <v>253</v>
      </c>
      <c r="G533" s="386">
        <f>G534</f>
        <v>253</v>
      </c>
      <c r="H533" s="202"/>
    </row>
    <row r="534" spans="1:8" ht="15">
      <c r="A534" s="174" t="s">
        <v>155</v>
      </c>
      <c r="B534" s="175" t="s">
        <v>367</v>
      </c>
      <c r="C534" s="175" t="s">
        <v>154</v>
      </c>
      <c r="D534" s="175" t="s">
        <v>44</v>
      </c>
      <c r="E534" s="387">
        <v>253</v>
      </c>
      <c r="F534" s="274">
        <v>253</v>
      </c>
      <c r="G534" s="320">
        <v>253</v>
      </c>
      <c r="H534" s="202"/>
    </row>
    <row r="535" spans="1:8" ht="30">
      <c r="A535" s="422" t="s">
        <v>642</v>
      </c>
      <c r="B535" s="97" t="s">
        <v>643</v>
      </c>
      <c r="C535" s="198"/>
      <c r="D535" s="198"/>
      <c r="E535" s="425">
        <f>E536</f>
        <v>390</v>
      </c>
      <c r="F535" s="425">
        <f>F536</f>
        <v>390</v>
      </c>
      <c r="G535" s="425">
        <f>G536</f>
        <v>390</v>
      </c>
      <c r="H535" s="202"/>
    </row>
    <row r="536" spans="1:8" ht="15">
      <c r="A536" s="403" t="s">
        <v>155</v>
      </c>
      <c r="B536" s="95" t="s">
        <v>643</v>
      </c>
      <c r="C536" s="423" t="s">
        <v>154</v>
      </c>
      <c r="D536" s="423" t="s">
        <v>44</v>
      </c>
      <c r="E536" s="424">
        <v>390</v>
      </c>
      <c r="F536" s="299">
        <v>390</v>
      </c>
      <c r="G536" s="300">
        <v>390</v>
      </c>
      <c r="H536" s="202"/>
    </row>
    <row r="537" spans="1:8" ht="30.75">
      <c r="A537" s="176" t="s">
        <v>189</v>
      </c>
      <c r="B537" s="70" t="s">
        <v>661</v>
      </c>
      <c r="C537" s="70"/>
      <c r="D537" s="71"/>
      <c r="E537" s="286">
        <f>E538</f>
        <v>0</v>
      </c>
      <c r="F537" s="286">
        <f>F538</f>
        <v>0</v>
      </c>
      <c r="G537" s="287">
        <f>G538</f>
        <v>0</v>
      </c>
      <c r="H537" s="202"/>
    </row>
    <row r="538" spans="1:8" ht="15">
      <c r="A538" s="32" t="s">
        <v>155</v>
      </c>
      <c r="B538" s="33" t="s">
        <v>661</v>
      </c>
      <c r="C538" s="33" t="s">
        <v>154</v>
      </c>
      <c r="D538" s="33" t="s">
        <v>44</v>
      </c>
      <c r="E538" s="264">
        <f>35.2-35.2</f>
        <v>0</v>
      </c>
      <c r="F538" s="264">
        <f>39.9-39.9</f>
        <v>0</v>
      </c>
      <c r="G538" s="265">
        <v>0</v>
      </c>
      <c r="H538" s="202"/>
    </row>
    <row r="539" spans="1:8" ht="30.75">
      <c r="A539" s="130" t="s">
        <v>368</v>
      </c>
      <c r="B539" s="135" t="s">
        <v>369</v>
      </c>
      <c r="C539" s="135"/>
      <c r="D539" s="136"/>
      <c r="E539" s="278">
        <f>E540+E542</f>
        <v>2018.3</v>
      </c>
      <c r="F539" s="278">
        <f>F540+F542</f>
        <v>2018.3</v>
      </c>
      <c r="G539" s="285">
        <f>G540+G542</f>
        <v>2018.3</v>
      </c>
      <c r="H539" s="202"/>
    </row>
    <row r="540" spans="1:8" ht="45.75">
      <c r="A540" s="72" t="s">
        <v>520</v>
      </c>
      <c r="B540" s="20" t="s">
        <v>370</v>
      </c>
      <c r="C540" s="20"/>
      <c r="D540" s="21"/>
      <c r="E540" s="260">
        <f>E541</f>
        <v>1523.3</v>
      </c>
      <c r="F540" s="260">
        <f>F541</f>
        <v>1523.3</v>
      </c>
      <c r="G540" s="261">
        <f>G541</f>
        <v>1523.3</v>
      </c>
      <c r="H540" s="202"/>
    </row>
    <row r="541" spans="1:8" ht="15">
      <c r="A541" s="174" t="s">
        <v>155</v>
      </c>
      <c r="B541" s="175" t="s">
        <v>370</v>
      </c>
      <c r="C541" s="175" t="s">
        <v>154</v>
      </c>
      <c r="D541" s="175" t="s">
        <v>44</v>
      </c>
      <c r="E541" s="387">
        <v>1523.3</v>
      </c>
      <c r="F541" s="387">
        <v>1523.3</v>
      </c>
      <c r="G541" s="387">
        <v>1523.3</v>
      </c>
      <c r="H541" s="202"/>
    </row>
    <row r="542" spans="1:8" ht="105.75">
      <c r="A542" s="72" t="s">
        <v>629</v>
      </c>
      <c r="B542" s="20" t="s">
        <v>371</v>
      </c>
      <c r="C542" s="20"/>
      <c r="D542" s="21"/>
      <c r="E542" s="260">
        <f>E543</f>
        <v>495</v>
      </c>
      <c r="F542" s="260">
        <f>F543</f>
        <v>495</v>
      </c>
      <c r="G542" s="261">
        <f>G543</f>
        <v>495</v>
      </c>
      <c r="H542" s="202"/>
    </row>
    <row r="543" spans="1:8" ht="15">
      <c r="A543" s="174" t="s">
        <v>155</v>
      </c>
      <c r="B543" s="175" t="s">
        <v>371</v>
      </c>
      <c r="C543" s="175" t="s">
        <v>154</v>
      </c>
      <c r="D543" s="175" t="s">
        <v>44</v>
      </c>
      <c r="E543" s="387">
        <v>495</v>
      </c>
      <c r="F543" s="274">
        <v>495</v>
      </c>
      <c r="G543" s="320">
        <v>495</v>
      </c>
      <c r="H543" s="202"/>
    </row>
    <row r="544" spans="1:8" ht="15.75">
      <c r="A544" s="130" t="s">
        <v>550</v>
      </c>
      <c r="B544" s="135" t="s">
        <v>549</v>
      </c>
      <c r="C544" s="135"/>
      <c r="D544" s="136"/>
      <c r="E544" s="278">
        <f>E545</f>
        <v>1320</v>
      </c>
      <c r="F544" s="278">
        <f aca="true" t="shared" si="24" ref="E544:G545">F545</f>
        <v>1147.2</v>
      </c>
      <c r="G544" s="285">
        <f t="shared" si="24"/>
        <v>1156.8000000000002</v>
      </c>
      <c r="H544" s="202"/>
    </row>
    <row r="545" spans="1:8" ht="45.75">
      <c r="A545" s="176" t="s">
        <v>196</v>
      </c>
      <c r="B545" s="70" t="s">
        <v>551</v>
      </c>
      <c r="C545" s="70"/>
      <c r="D545" s="71"/>
      <c r="E545" s="286">
        <f t="shared" si="24"/>
        <v>1320</v>
      </c>
      <c r="F545" s="286">
        <f t="shared" si="24"/>
        <v>1147.2</v>
      </c>
      <c r="G545" s="287">
        <f t="shared" si="24"/>
        <v>1156.8000000000002</v>
      </c>
      <c r="H545" s="202"/>
    </row>
    <row r="546" spans="1:8" ht="15">
      <c r="A546" s="32" t="s">
        <v>147</v>
      </c>
      <c r="B546" s="33" t="s">
        <v>551</v>
      </c>
      <c r="C546" s="33" t="s">
        <v>144</v>
      </c>
      <c r="D546" s="33" t="s">
        <v>44</v>
      </c>
      <c r="E546" s="264">
        <f>132+1188</f>
        <v>1320</v>
      </c>
      <c r="F546" s="264">
        <f>126.2+1021</f>
        <v>1147.2</v>
      </c>
      <c r="G546" s="265">
        <f>138.9+1018-0.1</f>
        <v>1156.8000000000002</v>
      </c>
      <c r="H546" s="202"/>
    </row>
    <row r="547" spans="1:11" ht="28.5" customHeight="1">
      <c r="A547" s="74" t="s">
        <v>41</v>
      </c>
      <c r="B547" s="79" t="s">
        <v>45</v>
      </c>
      <c r="C547" s="80" t="s">
        <v>20</v>
      </c>
      <c r="D547" s="81"/>
      <c r="E547" s="344">
        <f>E548+E556+E562+E574+E603+E552+E578+E582</f>
        <v>244283.69999999995</v>
      </c>
      <c r="F547" s="344">
        <f>F548+F556+F562+F574+F603+F552+F578+F582</f>
        <v>236430.79999999996</v>
      </c>
      <c r="G547" s="344">
        <f>G548+G556+G562+G574+G603+G552+G578+G582</f>
        <v>236303.09999999995</v>
      </c>
      <c r="H547" s="40"/>
      <c r="I547" s="40"/>
      <c r="J547" s="40"/>
      <c r="K547" s="40"/>
    </row>
    <row r="548" spans="1:8" ht="15.75">
      <c r="A548" s="82" t="s">
        <v>42</v>
      </c>
      <c r="B548" s="83" t="s">
        <v>47</v>
      </c>
      <c r="C548" s="84"/>
      <c r="D548" s="85"/>
      <c r="E548" s="283">
        <f aca="true" t="shared" si="25" ref="E548:G549">E549</f>
        <v>4304.7</v>
      </c>
      <c r="F548" s="283">
        <f t="shared" si="25"/>
        <v>4304.7</v>
      </c>
      <c r="G548" s="284">
        <f t="shared" si="25"/>
        <v>4304.7</v>
      </c>
      <c r="H548" s="202"/>
    </row>
    <row r="549" spans="1:8" ht="15.75">
      <c r="A549" s="130" t="s">
        <v>40</v>
      </c>
      <c r="B549" s="135" t="s">
        <v>46</v>
      </c>
      <c r="C549" s="135"/>
      <c r="D549" s="136"/>
      <c r="E549" s="278">
        <f t="shared" si="25"/>
        <v>4304.7</v>
      </c>
      <c r="F549" s="278">
        <f t="shared" si="25"/>
        <v>4304.7</v>
      </c>
      <c r="G549" s="285">
        <f t="shared" si="25"/>
        <v>4304.7</v>
      </c>
      <c r="H549" s="202"/>
    </row>
    <row r="550" spans="1:8" ht="15.75">
      <c r="A550" s="72" t="s">
        <v>291</v>
      </c>
      <c r="B550" s="92" t="s">
        <v>349</v>
      </c>
      <c r="C550" s="20"/>
      <c r="D550" s="21"/>
      <c r="E550" s="260">
        <f>SUM(E551:E551)</f>
        <v>4304.7</v>
      </c>
      <c r="F550" s="260">
        <f>SUM(F551:F551)</f>
        <v>4304.7</v>
      </c>
      <c r="G550" s="261">
        <f>SUM(G551:G551)</f>
        <v>4304.7</v>
      </c>
      <c r="H550" s="202"/>
    </row>
    <row r="551" spans="1:8" ht="45">
      <c r="A551" s="16" t="s">
        <v>145</v>
      </c>
      <c r="B551" s="160" t="s">
        <v>349</v>
      </c>
      <c r="C551" s="17" t="s">
        <v>142</v>
      </c>
      <c r="D551" s="17" t="s">
        <v>21</v>
      </c>
      <c r="E551" s="264">
        <v>4304.7</v>
      </c>
      <c r="F551" s="264">
        <v>4304.7</v>
      </c>
      <c r="G551" s="264">
        <v>4304.7</v>
      </c>
      <c r="H551" s="202"/>
    </row>
    <row r="552" spans="1:8" ht="30.75">
      <c r="A552" s="82" t="s">
        <v>179</v>
      </c>
      <c r="B552" s="83" t="s">
        <v>177</v>
      </c>
      <c r="C552" s="84"/>
      <c r="D552" s="85"/>
      <c r="E552" s="283">
        <f aca="true" t="shared" si="26" ref="E552:G554">E553</f>
        <v>1730.2</v>
      </c>
      <c r="F552" s="283">
        <f t="shared" si="26"/>
        <v>1730.2</v>
      </c>
      <c r="G552" s="284">
        <f t="shared" si="26"/>
        <v>1730.2</v>
      </c>
      <c r="H552" s="202"/>
    </row>
    <row r="553" spans="1:8" ht="15.75">
      <c r="A553" s="130" t="s">
        <v>40</v>
      </c>
      <c r="B553" s="135" t="s">
        <v>178</v>
      </c>
      <c r="C553" s="135"/>
      <c r="D553" s="136"/>
      <c r="E553" s="278">
        <f t="shared" si="26"/>
        <v>1730.2</v>
      </c>
      <c r="F553" s="278">
        <f t="shared" si="26"/>
        <v>1730.2</v>
      </c>
      <c r="G553" s="285">
        <f t="shared" si="26"/>
        <v>1730.2</v>
      </c>
      <c r="H553" s="202"/>
    </row>
    <row r="554" spans="1:8" ht="15.75">
      <c r="A554" s="88" t="s">
        <v>291</v>
      </c>
      <c r="B554" s="92" t="s">
        <v>294</v>
      </c>
      <c r="C554" s="20"/>
      <c r="D554" s="21"/>
      <c r="E554" s="260">
        <f t="shared" si="26"/>
        <v>1730.2</v>
      </c>
      <c r="F554" s="260">
        <f t="shared" si="26"/>
        <v>1730.2</v>
      </c>
      <c r="G554" s="261">
        <f t="shared" si="26"/>
        <v>1730.2</v>
      </c>
      <c r="H554" s="202"/>
    </row>
    <row r="555" spans="1:8" ht="45">
      <c r="A555" s="16" t="s">
        <v>145</v>
      </c>
      <c r="B555" s="17" t="s">
        <v>294</v>
      </c>
      <c r="C555" s="17" t="s">
        <v>142</v>
      </c>
      <c r="D555" s="17" t="s">
        <v>22</v>
      </c>
      <c r="E555" s="264">
        <v>1730.2</v>
      </c>
      <c r="F555" s="264">
        <v>1730.2</v>
      </c>
      <c r="G555" s="265">
        <v>1730.2</v>
      </c>
      <c r="H555" s="202"/>
    </row>
    <row r="556" spans="1:8" ht="15.75">
      <c r="A556" s="82" t="s">
        <v>0</v>
      </c>
      <c r="B556" s="83" t="s">
        <v>48</v>
      </c>
      <c r="C556" s="84"/>
      <c r="D556" s="85"/>
      <c r="E556" s="283">
        <f aca="true" t="shared" si="27" ref="E556:G557">E557</f>
        <v>9843.7</v>
      </c>
      <c r="F556" s="283">
        <f t="shared" si="27"/>
        <v>9750.2</v>
      </c>
      <c r="G556" s="284">
        <f t="shared" si="27"/>
        <v>9750.2</v>
      </c>
      <c r="H556" s="202"/>
    </row>
    <row r="557" spans="1:8" ht="15.75">
      <c r="A557" s="130" t="s">
        <v>40</v>
      </c>
      <c r="B557" s="135" t="s">
        <v>49</v>
      </c>
      <c r="C557" s="135"/>
      <c r="D557" s="136"/>
      <c r="E557" s="278">
        <f t="shared" si="27"/>
        <v>9843.7</v>
      </c>
      <c r="F557" s="278">
        <f t="shared" si="27"/>
        <v>9750.2</v>
      </c>
      <c r="G557" s="285">
        <f t="shared" si="27"/>
        <v>9750.2</v>
      </c>
      <c r="H557" s="202"/>
    </row>
    <row r="558" spans="1:8" ht="15.75">
      <c r="A558" s="88" t="s">
        <v>291</v>
      </c>
      <c r="B558" s="92" t="s">
        <v>295</v>
      </c>
      <c r="C558" s="20"/>
      <c r="D558" s="21"/>
      <c r="E558" s="260">
        <f>SUM(E559:E561)</f>
        <v>9843.7</v>
      </c>
      <c r="F558" s="260">
        <f>SUM(F559:F561)</f>
        <v>9750.2</v>
      </c>
      <c r="G558" s="261">
        <f>SUM(G559:G561)</f>
        <v>9750.2</v>
      </c>
      <c r="H558" s="202"/>
    </row>
    <row r="559" spans="1:8" ht="45">
      <c r="A559" s="170" t="s">
        <v>145</v>
      </c>
      <c r="B559" s="29" t="s">
        <v>295</v>
      </c>
      <c r="C559" s="29" t="s">
        <v>142</v>
      </c>
      <c r="D559" s="29" t="s">
        <v>22</v>
      </c>
      <c r="E559" s="271">
        <f>7809.5+63</f>
        <v>7872.5</v>
      </c>
      <c r="F559" s="388">
        <v>7809.5</v>
      </c>
      <c r="G559" s="389">
        <v>7809.5</v>
      </c>
      <c r="H559" s="202"/>
    </row>
    <row r="560" spans="1:8" ht="15">
      <c r="A560" s="27" t="s">
        <v>146</v>
      </c>
      <c r="B560" s="28" t="s">
        <v>295</v>
      </c>
      <c r="C560" s="28" t="s">
        <v>143</v>
      </c>
      <c r="D560" s="28" t="s">
        <v>22</v>
      </c>
      <c r="E560" s="269">
        <f>1650.7+30.5</f>
        <v>1681.2</v>
      </c>
      <c r="F560" s="307">
        <v>1640.7</v>
      </c>
      <c r="G560" s="308">
        <v>1640.7</v>
      </c>
      <c r="H560" s="202"/>
    </row>
    <row r="561" spans="1:8" ht="15">
      <c r="A561" s="23" t="s">
        <v>147</v>
      </c>
      <c r="B561" s="24" t="s">
        <v>295</v>
      </c>
      <c r="C561" s="24" t="s">
        <v>144</v>
      </c>
      <c r="D561" s="24" t="s">
        <v>22</v>
      </c>
      <c r="E561" s="274">
        <v>290</v>
      </c>
      <c r="F561" s="309">
        <v>300</v>
      </c>
      <c r="G561" s="310">
        <v>300</v>
      </c>
      <c r="H561" s="202"/>
    </row>
    <row r="562" spans="1:7" ht="15.75">
      <c r="A562" s="82" t="s">
        <v>36</v>
      </c>
      <c r="B562" s="83" t="s">
        <v>50</v>
      </c>
      <c r="C562" s="84"/>
      <c r="D562" s="85"/>
      <c r="E562" s="283">
        <f aca="true" t="shared" si="28" ref="E562:G563">E563</f>
        <v>184183.59999999998</v>
      </c>
      <c r="F562" s="283">
        <f t="shared" si="28"/>
        <v>187418.19999999995</v>
      </c>
      <c r="G562" s="284">
        <f t="shared" si="28"/>
        <v>187418.19999999995</v>
      </c>
    </row>
    <row r="563" spans="1:7" ht="15.75">
      <c r="A563" s="130" t="s">
        <v>40</v>
      </c>
      <c r="B563" s="135" t="s">
        <v>51</v>
      </c>
      <c r="C563" s="135"/>
      <c r="D563" s="136"/>
      <c r="E563" s="278">
        <f t="shared" si="28"/>
        <v>184183.59999999998</v>
      </c>
      <c r="F563" s="278">
        <f t="shared" si="28"/>
        <v>187418.19999999995</v>
      </c>
      <c r="G563" s="285">
        <f t="shared" si="28"/>
        <v>187418.19999999995</v>
      </c>
    </row>
    <row r="564" spans="1:7" ht="15.75">
      <c r="A564" s="88" t="s">
        <v>291</v>
      </c>
      <c r="B564" s="10" t="s">
        <v>292</v>
      </c>
      <c r="C564" s="10"/>
      <c r="D564" s="11"/>
      <c r="E564" s="266">
        <f>SUM(E565:E573)</f>
        <v>184183.59999999998</v>
      </c>
      <c r="F564" s="266">
        <f>SUM(F565:F573)</f>
        <v>187418.19999999995</v>
      </c>
      <c r="G564" s="305">
        <f>SUM(G565:G573)</f>
        <v>187418.19999999995</v>
      </c>
    </row>
    <row r="565" spans="1:8" ht="45">
      <c r="A565" s="25" t="s">
        <v>145</v>
      </c>
      <c r="B565" s="26" t="s">
        <v>292</v>
      </c>
      <c r="C565" s="104" t="s">
        <v>142</v>
      </c>
      <c r="D565" s="26" t="s">
        <v>23</v>
      </c>
      <c r="E565" s="252">
        <f>99185.4-1058.3-934.1</f>
        <v>97192.99999999999</v>
      </c>
      <c r="F565" s="252">
        <f>99185.4-2560.1</f>
        <v>96625.29999999999</v>
      </c>
      <c r="G565" s="390">
        <f>99185.4-2560.1</f>
        <v>96625.29999999999</v>
      </c>
      <c r="H565" s="202"/>
    </row>
    <row r="566" spans="1:8" ht="45">
      <c r="A566" s="27" t="s">
        <v>145</v>
      </c>
      <c r="B566" s="28" t="s">
        <v>292</v>
      </c>
      <c r="C566" s="28" t="s">
        <v>142</v>
      </c>
      <c r="D566" s="28" t="s">
        <v>24</v>
      </c>
      <c r="E566" s="269">
        <f>26888.2+10747.1-1152.2-4310.2</f>
        <v>32172.900000000005</v>
      </c>
      <c r="F566" s="269">
        <f>26888.2+10747.1</f>
        <v>37635.3</v>
      </c>
      <c r="G566" s="269">
        <f>26888.2+10747.1</f>
        <v>37635.3</v>
      </c>
      <c r="H566" s="202"/>
    </row>
    <row r="567" spans="1:8" ht="45">
      <c r="A567" s="27" t="s">
        <v>145</v>
      </c>
      <c r="B567" s="28" t="s">
        <v>292</v>
      </c>
      <c r="C567" s="28" t="s">
        <v>142</v>
      </c>
      <c r="D567" s="28" t="s">
        <v>13</v>
      </c>
      <c r="E567" s="269">
        <f>29137.1-1288.5-2198+5559.6</f>
        <v>31210.199999999997</v>
      </c>
      <c r="F567" s="269">
        <v>29137.1</v>
      </c>
      <c r="G567" s="269">
        <v>29137.1</v>
      </c>
      <c r="H567" s="202"/>
    </row>
    <row r="568" spans="1:8" ht="45">
      <c r="A568" s="27" t="s">
        <v>145</v>
      </c>
      <c r="B568" s="28" t="s">
        <v>292</v>
      </c>
      <c r="C568" s="28" t="s">
        <v>142</v>
      </c>
      <c r="D568" s="28" t="s">
        <v>29</v>
      </c>
      <c r="E568" s="269">
        <v>11123.8</v>
      </c>
      <c r="F568" s="269">
        <v>11123.8</v>
      </c>
      <c r="G568" s="275">
        <v>11123.8</v>
      </c>
      <c r="H568" s="202"/>
    </row>
    <row r="569" spans="1:8" ht="15">
      <c r="A569" s="27" t="s">
        <v>146</v>
      </c>
      <c r="B569" s="28" t="s">
        <v>292</v>
      </c>
      <c r="C569" s="28" t="s">
        <v>143</v>
      </c>
      <c r="D569" s="28" t="s">
        <v>23</v>
      </c>
      <c r="E569" s="253">
        <f>8100.8-105.6</f>
        <v>7995.2</v>
      </c>
      <c r="F569" s="253">
        <v>8100.8</v>
      </c>
      <c r="G569" s="314">
        <v>8100.8</v>
      </c>
      <c r="H569" s="202"/>
    </row>
    <row r="570" spans="1:9" ht="15">
      <c r="A570" s="27" t="s">
        <v>146</v>
      </c>
      <c r="B570" s="28" t="s">
        <v>292</v>
      </c>
      <c r="C570" s="28" t="s">
        <v>143</v>
      </c>
      <c r="D570" s="28" t="s">
        <v>24</v>
      </c>
      <c r="E570" s="269">
        <f>1863.1+1027.5-203.3-112.1</f>
        <v>2575.2</v>
      </c>
      <c r="F570" s="269">
        <f>1863.1+1027.5</f>
        <v>2890.6</v>
      </c>
      <c r="G570" s="269">
        <f>1863.1+1027.5</f>
        <v>2890.6</v>
      </c>
      <c r="H570" s="203"/>
      <c r="I570" s="40"/>
    </row>
    <row r="571" spans="1:8" ht="15">
      <c r="A571" s="27" t="s">
        <v>146</v>
      </c>
      <c r="B571" s="28" t="s">
        <v>292</v>
      </c>
      <c r="C571" s="28" t="s">
        <v>143</v>
      </c>
      <c r="D571" s="28" t="s">
        <v>13</v>
      </c>
      <c r="E571" s="269">
        <v>1492.8</v>
      </c>
      <c r="F571" s="269">
        <v>1492.8</v>
      </c>
      <c r="G571" s="269">
        <v>1492.8</v>
      </c>
      <c r="H571" s="202"/>
    </row>
    <row r="572" spans="1:8" ht="15">
      <c r="A572" s="27" t="s">
        <v>146</v>
      </c>
      <c r="B572" s="28" t="s">
        <v>292</v>
      </c>
      <c r="C572" s="28" t="s">
        <v>143</v>
      </c>
      <c r="D572" s="28" t="s">
        <v>29</v>
      </c>
      <c r="E572" s="269">
        <f>384.3+8</f>
        <v>392.3</v>
      </c>
      <c r="F572" s="269">
        <v>384.3</v>
      </c>
      <c r="G572" s="275">
        <v>384.3</v>
      </c>
      <c r="H572" s="202"/>
    </row>
    <row r="573" spans="1:8" ht="15">
      <c r="A573" s="23" t="s">
        <v>147</v>
      </c>
      <c r="B573" s="24" t="s">
        <v>292</v>
      </c>
      <c r="C573" s="24" t="s">
        <v>144</v>
      </c>
      <c r="D573" s="24" t="s">
        <v>29</v>
      </c>
      <c r="E573" s="274">
        <v>28.2</v>
      </c>
      <c r="F573" s="309">
        <v>28.2</v>
      </c>
      <c r="G573" s="310">
        <v>28.2</v>
      </c>
      <c r="H573" s="202"/>
    </row>
    <row r="574" spans="1:8" ht="15.75">
      <c r="A574" s="82" t="s">
        <v>11</v>
      </c>
      <c r="B574" s="83" t="s">
        <v>53</v>
      </c>
      <c r="C574" s="84"/>
      <c r="D574" s="85"/>
      <c r="E574" s="283">
        <f aca="true" t="shared" si="29" ref="E574:G576">E575</f>
        <v>4573.4</v>
      </c>
      <c r="F574" s="283">
        <f t="shared" si="29"/>
        <v>4573.4</v>
      </c>
      <c r="G574" s="284">
        <f t="shared" si="29"/>
        <v>4573.4</v>
      </c>
      <c r="H574" s="202"/>
    </row>
    <row r="575" spans="1:8" ht="15.75">
      <c r="A575" s="130" t="s">
        <v>40</v>
      </c>
      <c r="B575" s="135" t="s">
        <v>52</v>
      </c>
      <c r="C575" s="135"/>
      <c r="D575" s="136"/>
      <c r="E575" s="278">
        <f t="shared" si="29"/>
        <v>4573.4</v>
      </c>
      <c r="F575" s="278">
        <f t="shared" si="29"/>
        <v>4573.4</v>
      </c>
      <c r="G575" s="285">
        <f t="shared" si="29"/>
        <v>4573.4</v>
      </c>
      <c r="H575" s="202"/>
    </row>
    <row r="576" spans="1:8" ht="15.75">
      <c r="A576" s="88" t="s">
        <v>291</v>
      </c>
      <c r="B576" s="49" t="s">
        <v>293</v>
      </c>
      <c r="C576" s="49"/>
      <c r="D576" s="50"/>
      <c r="E576" s="376">
        <f t="shared" si="29"/>
        <v>4573.4</v>
      </c>
      <c r="F576" s="376">
        <f t="shared" si="29"/>
        <v>4573.4</v>
      </c>
      <c r="G576" s="391">
        <f t="shared" si="29"/>
        <v>4573.4</v>
      </c>
      <c r="H576" s="202"/>
    </row>
    <row r="577" spans="1:8" ht="45">
      <c r="A577" s="16" t="s">
        <v>145</v>
      </c>
      <c r="B577" s="17" t="s">
        <v>293</v>
      </c>
      <c r="C577" s="17" t="s">
        <v>142</v>
      </c>
      <c r="D577" s="17" t="s">
        <v>23</v>
      </c>
      <c r="E577" s="264">
        <v>4573.4</v>
      </c>
      <c r="F577" s="264">
        <v>4573.4</v>
      </c>
      <c r="G577" s="264">
        <v>4573.4</v>
      </c>
      <c r="H577" s="202"/>
    </row>
    <row r="578" spans="1:8" ht="15.75">
      <c r="A578" s="82" t="s">
        <v>623</v>
      </c>
      <c r="B578" s="83" t="s">
        <v>533</v>
      </c>
      <c r="C578" s="84"/>
      <c r="D578" s="85"/>
      <c r="E578" s="283">
        <f>E579</f>
        <v>3941.5</v>
      </c>
      <c r="F578" s="283">
        <f aca="true" t="shared" si="30" ref="F578:G580">F579</f>
        <v>3941.5</v>
      </c>
      <c r="G578" s="284">
        <f t="shared" si="30"/>
        <v>3941.5</v>
      </c>
      <c r="H578" s="202"/>
    </row>
    <row r="579" spans="1:8" ht="15.75">
      <c r="A579" s="130" t="s">
        <v>40</v>
      </c>
      <c r="B579" s="135" t="s">
        <v>534</v>
      </c>
      <c r="C579" s="135"/>
      <c r="D579" s="136"/>
      <c r="E579" s="278">
        <f>E580</f>
        <v>3941.5</v>
      </c>
      <c r="F579" s="278">
        <f t="shared" si="30"/>
        <v>3941.5</v>
      </c>
      <c r="G579" s="285">
        <f t="shared" si="30"/>
        <v>3941.5</v>
      </c>
      <c r="H579" s="202"/>
    </row>
    <row r="580" spans="1:8" ht="15.75">
      <c r="A580" s="88" t="s">
        <v>291</v>
      </c>
      <c r="B580" s="10" t="s">
        <v>535</v>
      </c>
      <c r="C580" s="10"/>
      <c r="D580" s="11"/>
      <c r="E580" s="266">
        <f>E581</f>
        <v>3941.5</v>
      </c>
      <c r="F580" s="266">
        <f t="shared" si="30"/>
        <v>3941.5</v>
      </c>
      <c r="G580" s="305">
        <f t="shared" si="30"/>
        <v>3941.5</v>
      </c>
      <c r="H580" s="202"/>
    </row>
    <row r="581" spans="1:8" ht="45">
      <c r="A581" s="165" t="s">
        <v>145</v>
      </c>
      <c r="B581" s="166" t="s">
        <v>535</v>
      </c>
      <c r="C581" s="166" t="s">
        <v>142</v>
      </c>
      <c r="D581" s="166" t="s">
        <v>24</v>
      </c>
      <c r="E581" s="295">
        <v>3941.5</v>
      </c>
      <c r="F581" s="295">
        <v>3941.5</v>
      </c>
      <c r="G581" s="295">
        <v>3941.5</v>
      </c>
      <c r="H581" s="202"/>
    </row>
    <row r="582" spans="1:8" ht="30.75">
      <c r="A582" s="406" t="s">
        <v>631</v>
      </c>
      <c r="B582" s="407" t="s">
        <v>635</v>
      </c>
      <c r="C582" s="408"/>
      <c r="D582" s="408"/>
      <c r="E582" s="418">
        <f>E583</f>
        <v>10823.300000000001</v>
      </c>
      <c r="F582" s="418">
        <f>F583</f>
        <v>0</v>
      </c>
      <c r="G582" s="418">
        <f>G583</f>
        <v>0</v>
      </c>
      <c r="H582" s="202"/>
    </row>
    <row r="583" spans="1:8" ht="15.75">
      <c r="A583" s="409" t="s">
        <v>40</v>
      </c>
      <c r="B583" s="410" t="s">
        <v>636</v>
      </c>
      <c r="C583" s="411"/>
      <c r="D583" s="411"/>
      <c r="E583" s="392">
        <f>E591+E594+E601+E587+E589+E584+E596+E599</f>
        <v>10823.300000000001</v>
      </c>
      <c r="F583" s="392">
        <f>F591+F594+F601+F587+F589+F584</f>
        <v>0</v>
      </c>
      <c r="G583" s="392">
        <f>G591+G594+G601+G587+G589+G584</f>
        <v>0</v>
      </c>
      <c r="H583" s="202"/>
    </row>
    <row r="584" spans="1:8" ht="30">
      <c r="A584" s="422" t="s">
        <v>657</v>
      </c>
      <c r="B584" s="97" t="s">
        <v>658</v>
      </c>
      <c r="C584" s="162"/>
      <c r="D584" s="162"/>
      <c r="E584" s="316">
        <f>E585+E586</f>
        <v>4422.3</v>
      </c>
      <c r="F584" s="316">
        <f>F585+F586</f>
        <v>0</v>
      </c>
      <c r="G584" s="316">
        <f>G585+G586</f>
        <v>0</v>
      </c>
      <c r="H584" s="202"/>
    </row>
    <row r="585" spans="1:8" ht="45">
      <c r="A585" s="452" t="s">
        <v>145</v>
      </c>
      <c r="B585" s="119" t="s">
        <v>658</v>
      </c>
      <c r="C585" s="453" t="s">
        <v>142</v>
      </c>
      <c r="D585" s="453" t="s">
        <v>24</v>
      </c>
      <c r="E585" s="447">
        <v>4310.2</v>
      </c>
      <c r="F585" s="447">
        <v>0</v>
      </c>
      <c r="G585" s="454">
        <v>0</v>
      </c>
      <c r="H585" s="202"/>
    </row>
    <row r="586" spans="1:8" ht="15">
      <c r="A586" s="403" t="s">
        <v>146</v>
      </c>
      <c r="B586" s="95" t="s">
        <v>658</v>
      </c>
      <c r="C586" s="163" t="s">
        <v>143</v>
      </c>
      <c r="D586" s="163" t="s">
        <v>24</v>
      </c>
      <c r="E586" s="299">
        <v>112.1</v>
      </c>
      <c r="F586" s="299">
        <v>0</v>
      </c>
      <c r="G586" s="397">
        <v>0</v>
      </c>
      <c r="H586" s="202"/>
    </row>
    <row r="587" spans="1:8" ht="30">
      <c r="A587" s="441" t="s">
        <v>653</v>
      </c>
      <c r="B587" s="442" t="s">
        <v>655</v>
      </c>
      <c r="C587" s="162"/>
      <c r="D587" s="162"/>
      <c r="E587" s="316">
        <f>E588</f>
        <v>1683.5</v>
      </c>
      <c r="F587" s="316">
        <f>F588</f>
        <v>0</v>
      </c>
      <c r="G587" s="428">
        <f>G588</f>
        <v>0</v>
      </c>
      <c r="H587" s="202"/>
    </row>
    <row r="588" spans="1:8" ht="45">
      <c r="A588" s="451" t="s">
        <v>145</v>
      </c>
      <c r="B588" s="449" t="s">
        <v>655</v>
      </c>
      <c r="C588" s="450" t="s">
        <v>142</v>
      </c>
      <c r="D588" s="450" t="s">
        <v>13</v>
      </c>
      <c r="E588" s="311">
        <v>1683.5</v>
      </c>
      <c r="F588" s="311">
        <v>0</v>
      </c>
      <c r="G588" s="311">
        <v>0</v>
      </c>
      <c r="H588" s="202"/>
    </row>
    <row r="589" spans="1:8" ht="15.75">
      <c r="A589" s="443" t="s">
        <v>654</v>
      </c>
      <c r="B589" s="442" t="s">
        <v>656</v>
      </c>
      <c r="C589" s="13"/>
      <c r="D589" s="13"/>
      <c r="E589" s="286">
        <f>E590</f>
        <v>2198</v>
      </c>
      <c r="F589" s="286">
        <f>F590</f>
        <v>0</v>
      </c>
      <c r="G589" s="286">
        <f>G590</f>
        <v>0</v>
      </c>
      <c r="H589" s="202"/>
    </row>
    <row r="590" spans="1:8" ht="15">
      <c r="A590" s="448" t="s">
        <v>654</v>
      </c>
      <c r="B590" s="449" t="s">
        <v>656</v>
      </c>
      <c r="C590" s="450" t="s">
        <v>142</v>
      </c>
      <c r="D590" s="450" t="s">
        <v>13</v>
      </c>
      <c r="E590" s="311">
        <v>2198</v>
      </c>
      <c r="F590" s="311">
        <v>0</v>
      </c>
      <c r="G590" s="311">
        <v>0</v>
      </c>
      <c r="H590" s="202"/>
    </row>
    <row r="591" spans="1:8" ht="21" customHeight="1">
      <c r="A591" s="412" t="s">
        <v>632</v>
      </c>
      <c r="B591" s="413" t="s">
        <v>637</v>
      </c>
      <c r="C591" s="411"/>
      <c r="D591" s="411"/>
      <c r="E591" s="392">
        <f>E592+E593</f>
        <v>211.3</v>
      </c>
      <c r="F591" s="392">
        <f>F592+F593</f>
        <v>0</v>
      </c>
      <c r="G591" s="392">
        <f>G592+G593</f>
        <v>0</v>
      </c>
      <c r="H591" s="202"/>
    </row>
    <row r="592" spans="1:8" ht="45">
      <c r="A592" s="402" t="s">
        <v>145</v>
      </c>
      <c r="B592" s="96" t="s">
        <v>637</v>
      </c>
      <c r="C592" s="162" t="s">
        <v>142</v>
      </c>
      <c r="D592" s="162" t="s">
        <v>23</v>
      </c>
      <c r="E592" s="318">
        <v>105.7</v>
      </c>
      <c r="F592" s="318">
        <v>0</v>
      </c>
      <c r="G592" s="415">
        <v>0</v>
      </c>
      <c r="H592" s="202"/>
    </row>
    <row r="593" spans="1:8" ht="15">
      <c r="A593" s="414" t="s">
        <v>146</v>
      </c>
      <c r="B593" s="95" t="s">
        <v>637</v>
      </c>
      <c r="C593" s="17" t="s">
        <v>143</v>
      </c>
      <c r="D593" s="17" t="s">
        <v>23</v>
      </c>
      <c r="E593" s="264">
        <v>105.6</v>
      </c>
      <c r="F593" s="264">
        <v>0</v>
      </c>
      <c r="G593" s="416">
        <v>0</v>
      </c>
      <c r="H593" s="202"/>
    </row>
    <row r="594" spans="1:8" ht="30.75">
      <c r="A594" s="404" t="s">
        <v>633</v>
      </c>
      <c r="B594" s="97" t="s">
        <v>638</v>
      </c>
      <c r="C594" s="162"/>
      <c r="D594" s="162"/>
      <c r="E594" s="316">
        <f>E595</f>
        <v>100.6</v>
      </c>
      <c r="F594" s="316">
        <f>F595</f>
        <v>0</v>
      </c>
      <c r="G594" s="316">
        <f>G595</f>
        <v>0</v>
      </c>
      <c r="H594" s="202"/>
    </row>
    <row r="595" spans="1:8" ht="45">
      <c r="A595" s="417" t="s">
        <v>145</v>
      </c>
      <c r="B595" s="95" t="s">
        <v>638</v>
      </c>
      <c r="C595" s="17" t="s">
        <v>142</v>
      </c>
      <c r="D595" s="17" t="s">
        <v>23</v>
      </c>
      <c r="E595" s="264">
        <v>100.6</v>
      </c>
      <c r="F595" s="264">
        <v>0</v>
      </c>
      <c r="G595" s="416">
        <v>0</v>
      </c>
      <c r="H595" s="202"/>
    </row>
    <row r="596" spans="1:8" ht="30.75">
      <c r="A596" s="412" t="s">
        <v>672</v>
      </c>
      <c r="B596" s="413" t="s">
        <v>671</v>
      </c>
      <c r="C596" s="411"/>
      <c r="D596" s="411"/>
      <c r="E596" s="392">
        <f>E598+E597</f>
        <v>1355.6</v>
      </c>
      <c r="F596" s="392">
        <f>F598+F597</f>
        <v>0</v>
      </c>
      <c r="G596" s="392">
        <f>G598+G597</f>
        <v>0</v>
      </c>
      <c r="H596" s="202"/>
    </row>
    <row r="597" spans="1:8" ht="45">
      <c r="A597" s="402" t="s">
        <v>145</v>
      </c>
      <c r="B597" s="96" t="s">
        <v>671</v>
      </c>
      <c r="C597" s="13" t="s">
        <v>142</v>
      </c>
      <c r="D597" s="13" t="s">
        <v>24</v>
      </c>
      <c r="E597" s="262">
        <v>1152.3</v>
      </c>
      <c r="F597" s="262">
        <v>0</v>
      </c>
      <c r="G597" s="338">
        <v>0</v>
      </c>
      <c r="H597" s="202"/>
    </row>
    <row r="598" spans="1:8" ht="15">
      <c r="A598" s="414" t="s">
        <v>146</v>
      </c>
      <c r="B598" s="112" t="s">
        <v>671</v>
      </c>
      <c r="C598" s="450" t="s">
        <v>143</v>
      </c>
      <c r="D598" s="450" t="s">
        <v>24</v>
      </c>
      <c r="E598" s="311">
        <v>203.3</v>
      </c>
      <c r="F598" s="311">
        <v>0</v>
      </c>
      <c r="G598" s="486">
        <v>0</v>
      </c>
      <c r="H598" s="202"/>
    </row>
    <row r="599" spans="1:8" ht="45.75">
      <c r="A599" s="412" t="s">
        <v>676</v>
      </c>
      <c r="B599" s="413" t="s">
        <v>675</v>
      </c>
      <c r="C599" s="411"/>
      <c r="D599" s="411"/>
      <c r="E599" s="392">
        <f>E600</f>
        <v>0</v>
      </c>
      <c r="F599" s="392">
        <f>F600+F601</f>
        <v>0</v>
      </c>
      <c r="G599" s="392">
        <f>G600+G601</f>
        <v>0</v>
      </c>
      <c r="H599" s="202"/>
    </row>
    <row r="600" spans="1:8" ht="45">
      <c r="A600" s="402" t="s">
        <v>145</v>
      </c>
      <c r="B600" s="96" t="s">
        <v>675</v>
      </c>
      <c r="C600" s="162" t="s">
        <v>142</v>
      </c>
      <c r="D600" s="162" t="s">
        <v>24</v>
      </c>
      <c r="E600" s="318">
        <f>1152.3-1152.3</f>
        <v>0</v>
      </c>
      <c r="F600" s="318">
        <v>0</v>
      </c>
      <c r="G600" s="415">
        <v>0</v>
      </c>
      <c r="H600" s="202"/>
    </row>
    <row r="601" spans="1:8" ht="15.75">
      <c r="A601" s="404" t="s">
        <v>634</v>
      </c>
      <c r="B601" s="97" t="s">
        <v>639</v>
      </c>
      <c r="C601" s="162"/>
      <c r="D601" s="162"/>
      <c r="E601" s="316">
        <f>E602</f>
        <v>852</v>
      </c>
      <c r="F601" s="316">
        <f>F602</f>
        <v>0</v>
      </c>
      <c r="G601" s="316">
        <f>G602</f>
        <v>0</v>
      </c>
      <c r="H601" s="202"/>
    </row>
    <row r="602" spans="1:8" ht="45">
      <c r="A602" s="405" t="s">
        <v>145</v>
      </c>
      <c r="B602" s="112" t="s">
        <v>639</v>
      </c>
      <c r="C602" s="63" t="s">
        <v>142</v>
      </c>
      <c r="D602" s="63" t="s">
        <v>23</v>
      </c>
      <c r="E602" s="369">
        <v>852</v>
      </c>
      <c r="F602" s="369">
        <v>0</v>
      </c>
      <c r="G602" s="401">
        <v>0</v>
      </c>
      <c r="H602" s="202"/>
    </row>
    <row r="603" spans="1:7" ht="30.75">
      <c r="A603" s="82" t="s">
        <v>10</v>
      </c>
      <c r="B603" s="83" t="s">
        <v>54</v>
      </c>
      <c r="C603" s="84"/>
      <c r="D603" s="85"/>
      <c r="E603" s="283">
        <f>E604</f>
        <v>24883.300000000003</v>
      </c>
      <c r="F603" s="283">
        <f>F604</f>
        <v>24712.600000000002</v>
      </c>
      <c r="G603" s="284">
        <f>G604</f>
        <v>24584.9</v>
      </c>
    </row>
    <row r="604" spans="1:7" ht="15.75">
      <c r="A604" s="130" t="s">
        <v>40</v>
      </c>
      <c r="B604" s="135" t="s">
        <v>55</v>
      </c>
      <c r="C604" s="135"/>
      <c r="D604" s="136"/>
      <c r="E604" s="278">
        <f>E605+E608+E611+E614+E620+E623+E625+E617+E628</f>
        <v>24883.300000000003</v>
      </c>
      <c r="F604" s="278">
        <f>F605+F608+F611+F614+F620+F623+F625+F617+F628</f>
        <v>24712.600000000002</v>
      </c>
      <c r="G604" s="278">
        <f>G605+G608+G611+G614+G620+G623+G625+G617+G628</f>
        <v>24584.9</v>
      </c>
    </row>
    <row r="605" spans="1:8" ht="15.75">
      <c r="A605" s="88" t="s">
        <v>282</v>
      </c>
      <c r="B605" s="10" t="s">
        <v>56</v>
      </c>
      <c r="C605" s="10"/>
      <c r="D605" s="11"/>
      <c r="E605" s="266">
        <f>E606+E607</f>
        <v>144.2</v>
      </c>
      <c r="F605" s="266">
        <f>F606+F607</f>
        <v>144.1</v>
      </c>
      <c r="G605" s="305">
        <f>G606+G607</f>
        <v>144.2</v>
      </c>
      <c r="H605" s="202"/>
    </row>
    <row r="606" spans="1:8" ht="45">
      <c r="A606" s="12" t="s">
        <v>145</v>
      </c>
      <c r="B606" s="13" t="s">
        <v>56</v>
      </c>
      <c r="C606" s="13" t="s">
        <v>142</v>
      </c>
      <c r="D606" s="13" t="s">
        <v>24</v>
      </c>
      <c r="E606" s="262">
        <v>120.2</v>
      </c>
      <c r="F606" s="262">
        <v>120.1</v>
      </c>
      <c r="G606" s="263">
        <v>120.2</v>
      </c>
      <c r="H606" s="202"/>
    </row>
    <row r="607" spans="1:8" ht="15">
      <c r="A607" s="14" t="s">
        <v>146</v>
      </c>
      <c r="B607" s="15" t="s">
        <v>56</v>
      </c>
      <c r="C607" s="15" t="s">
        <v>143</v>
      </c>
      <c r="D607" s="15" t="s">
        <v>24</v>
      </c>
      <c r="E607" s="326">
        <v>24</v>
      </c>
      <c r="F607" s="326">
        <f>24</f>
        <v>24</v>
      </c>
      <c r="G607" s="327">
        <v>24</v>
      </c>
      <c r="H607" s="398"/>
    </row>
    <row r="608" spans="1:8" ht="15.75">
      <c r="A608" s="88" t="s">
        <v>470</v>
      </c>
      <c r="B608" s="10" t="s">
        <v>57</v>
      </c>
      <c r="C608" s="10"/>
      <c r="D608" s="11"/>
      <c r="E608" s="266">
        <f>SUM(E609:E610)</f>
        <v>848</v>
      </c>
      <c r="F608" s="266">
        <f>SUM(F609:F610)</f>
        <v>848</v>
      </c>
      <c r="G608" s="305">
        <f>SUM(G609:G610)</f>
        <v>848</v>
      </c>
      <c r="H608" s="202"/>
    </row>
    <row r="609" spans="1:8" ht="45">
      <c r="A609" s="12" t="s">
        <v>145</v>
      </c>
      <c r="B609" s="13" t="s">
        <v>57</v>
      </c>
      <c r="C609" s="13" t="s">
        <v>142</v>
      </c>
      <c r="D609" s="13" t="s">
        <v>23</v>
      </c>
      <c r="E609" s="262">
        <v>706.7</v>
      </c>
      <c r="F609" s="262">
        <v>706.7</v>
      </c>
      <c r="G609" s="262">
        <v>706.7</v>
      </c>
      <c r="H609" s="202"/>
    </row>
    <row r="610" spans="1:8" ht="15">
      <c r="A610" s="14" t="s">
        <v>146</v>
      </c>
      <c r="B610" s="15" t="s">
        <v>57</v>
      </c>
      <c r="C610" s="15" t="s">
        <v>143</v>
      </c>
      <c r="D610" s="15" t="s">
        <v>23</v>
      </c>
      <c r="E610" s="326">
        <v>141.3</v>
      </c>
      <c r="F610" s="326">
        <v>141.3</v>
      </c>
      <c r="G610" s="326">
        <v>141.3</v>
      </c>
      <c r="H610" s="202"/>
    </row>
    <row r="611" spans="1:8" ht="15.75">
      <c r="A611" s="88" t="s">
        <v>471</v>
      </c>
      <c r="B611" s="10" t="s">
        <v>58</v>
      </c>
      <c r="C611" s="10"/>
      <c r="D611" s="11"/>
      <c r="E611" s="266">
        <f>SUM(E612:E613)</f>
        <v>3415.7</v>
      </c>
      <c r="F611" s="266">
        <f>SUM(F612:F613)</f>
        <v>3415.7</v>
      </c>
      <c r="G611" s="305">
        <f>SUM(G612:G613)</f>
        <v>3415.7</v>
      </c>
      <c r="H611" s="202"/>
    </row>
    <row r="612" spans="1:8" ht="45">
      <c r="A612" s="12" t="s">
        <v>145</v>
      </c>
      <c r="B612" s="13" t="s">
        <v>58</v>
      </c>
      <c r="C612" s="13" t="s">
        <v>142</v>
      </c>
      <c r="D612" s="13" t="s">
        <v>23</v>
      </c>
      <c r="E612" s="262">
        <v>3253</v>
      </c>
      <c r="F612" s="262">
        <v>3253</v>
      </c>
      <c r="G612" s="262">
        <v>3253</v>
      </c>
      <c r="H612" s="202"/>
    </row>
    <row r="613" spans="1:8" ht="15">
      <c r="A613" s="14" t="s">
        <v>146</v>
      </c>
      <c r="B613" s="15" t="s">
        <v>58</v>
      </c>
      <c r="C613" s="15" t="s">
        <v>143</v>
      </c>
      <c r="D613" s="15" t="s">
        <v>23</v>
      </c>
      <c r="E613" s="326">
        <v>162.7</v>
      </c>
      <c r="F613" s="326">
        <v>162.7</v>
      </c>
      <c r="G613" s="326">
        <v>162.7</v>
      </c>
      <c r="H613" s="202"/>
    </row>
    <row r="614" spans="1:8" ht="15.75">
      <c r="A614" s="88" t="s">
        <v>472</v>
      </c>
      <c r="B614" s="10" t="s">
        <v>59</v>
      </c>
      <c r="C614" s="10"/>
      <c r="D614" s="11"/>
      <c r="E614" s="266">
        <f>SUM(E615:E616)</f>
        <v>1124.1000000000001</v>
      </c>
      <c r="F614" s="266">
        <f>SUM(F615:F616)</f>
        <v>1124.1000000000001</v>
      </c>
      <c r="G614" s="305">
        <f>SUM(G615:G616)</f>
        <v>1124.1000000000001</v>
      </c>
      <c r="H614" s="202"/>
    </row>
    <row r="615" spans="1:8" ht="45">
      <c r="A615" s="12" t="s">
        <v>145</v>
      </c>
      <c r="B615" s="13" t="s">
        <v>59</v>
      </c>
      <c r="C615" s="13" t="s">
        <v>142</v>
      </c>
      <c r="D615" s="13" t="s">
        <v>23</v>
      </c>
      <c r="E615" s="262">
        <v>1053.7</v>
      </c>
      <c r="F615" s="262">
        <v>1053.7</v>
      </c>
      <c r="G615" s="262">
        <v>1053.7</v>
      </c>
      <c r="H615" s="202"/>
    </row>
    <row r="616" spans="1:8" ht="15">
      <c r="A616" s="14" t="s">
        <v>146</v>
      </c>
      <c r="B616" s="15" t="s">
        <v>59</v>
      </c>
      <c r="C616" s="15" t="s">
        <v>143</v>
      </c>
      <c r="D616" s="15" t="s">
        <v>23</v>
      </c>
      <c r="E616" s="326">
        <v>70.4</v>
      </c>
      <c r="F616" s="326">
        <v>70.4</v>
      </c>
      <c r="G616" s="326">
        <v>70.4</v>
      </c>
      <c r="H616" s="202"/>
    </row>
    <row r="617" spans="1:8" ht="15.75">
      <c r="A617" s="88" t="s">
        <v>85</v>
      </c>
      <c r="B617" s="10" t="s">
        <v>160</v>
      </c>
      <c r="C617" s="10"/>
      <c r="D617" s="11"/>
      <c r="E617" s="266">
        <f>SUM(E618:E619)</f>
        <v>15349.400000000001</v>
      </c>
      <c r="F617" s="266">
        <f>SUM(F618:F619)</f>
        <v>15349.400000000001</v>
      </c>
      <c r="G617" s="305">
        <f>SUM(G618:G619)</f>
        <v>15349.400000000001</v>
      </c>
      <c r="H617" s="202"/>
    </row>
    <row r="618" spans="1:8" ht="45">
      <c r="A618" s="12" t="s">
        <v>145</v>
      </c>
      <c r="B618" s="13" t="s">
        <v>160</v>
      </c>
      <c r="C618" s="13" t="s">
        <v>142</v>
      </c>
      <c r="D618" s="13" t="s">
        <v>23</v>
      </c>
      <c r="E618" s="262">
        <v>12802.7</v>
      </c>
      <c r="F618" s="262">
        <v>12802.7</v>
      </c>
      <c r="G618" s="262">
        <v>12802.7</v>
      </c>
      <c r="H618" s="202"/>
    </row>
    <row r="619" spans="1:8" ht="15">
      <c r="A619" s="14" t="s">
        <v>146</v>
      </c>
      <c r="B619" s="15" t="s">
        <v>160</v>
      </c>
      <c r="C619" s="15" t="s">
        <v>143</v>
      </c>
      <c r="D619" s="15" t="s">
        <v>23</v>
      </c>
      <c r="E619" s="326">
        <v>2546.7</v>
      </c>
      <c r="F619" s="326">
        <v>2546.7</v>
      </c>
      <c r="G619" s="326">
        <v>2546.7</v>
      </c>
      <c r="H619" s="202"/>
    </row>
    <row r="620" spans="1:8" ht="15.75">
      <c r="A620" s="88" t="s">
        <v>473</v>
      </c>
      <c r="B620" s="10" t="s">
        <v>60</v>
      </c>
      <c r="C620" s="10"/>
      <c r="D620" s="11"/>
      <c r="E620" s="266">
        <f>SUM(E621:E622)</f>
        <v>310</v>
      </c>
      <c r="F620" s="266">
        <f>SUM(F621:F622)</f>
        <v>310</v>
      </c>
      <c r="G620" s="305">
        <f>SUM(G621:G622)</f>
        <v>310</v>
      </c>
      <c r="H620" s="202"/>
    </row>
    <row r="621" spans="1:8" ht="45">
      <c r="A621" s="12" t="s">
        <v>145</v>
      </c>
      <c r="B621" s="13" t="s">
        <v>60</v>
      </c>
      <c r="C621" s="13" t="s">
        <v>142</v>
      </c>
      <c r="D621" s="13" t="s">
        <v>23</v>
      </c>
      <c r="E621" s="262">
        <v>301</v>
      </c>
      <c r="F621" s="262">
        <v>301</v>
      </c>
      <c r="G621" s="262">
        <v>301</v>
      </c>
      <c r="H621" s="202"/>
    </row>
    <row r="622" spans="1:8" ht="15">
      <c r="A622" s="14" t="s">
        <v>146</v>
      </c>
      <c r="B622" s="15" t="s">
        <v>60</v>
      </c>
      <c r="C622" s="15" t="s">
        <v>143</v>
      </c>
      <c r="D622" s="15" t="s">
        <v>23</v>
      </c>
      <c r="E622" s="326">
        <v>9</v>
      </c>
      <c r="F622" s="326">
        <v>9</v>
      </c>
      <c r="G622" s="326">
        <v>9</v>
      </c>
      <c r="H622" s="202"/>
    </row>
    <row r="623" spans="1:8" ht="15.75">
      <c r="A623" s="88" t="s">
        <v>474</v>
      </c>
      <c r="B623" s="10" t="s">
        <v>61</v>
      </c>
      <c r="C623" s="10"/>
      <c r="D623" s="11"/>
      <c r="E623" s="260">
        <f>E624</f>
        <v>748.1</v>
      </c>
      <c r="F623" s="266">
        <f>F624</f>
        <v>748.1</v>
      </c>
      <c r="G623" s="305">
        <f>G624</f>
        <v>748.1</v>
      </c>
      <c r="H623" s="202"/>
    </row>
    <row r="624" spans="1:8" ht="30">
      <c r="A624" s="16" t="s">
        <v>161</v>
      </c>
      <c r="B624" s="17" t="s">
        <v>61</v>
      </c>
      <c r="C624" s="17" t="s">
        <v>142</v>
      </c>
      <c r="D624" s="17" t="s">
        <v>23</v>
      </c>
      <c r="E624" s="353">
        <f>748.2-0.1</f>
        <v>748.1</v>
      </c>
      <c r="F624" s="353">
        <f>748.2-0.1</f>
        <v>748.1</v>
      </c>
      <c r="G624" s="354">
        <f>748.2-0.1</f>
        <v>748.1</v>
      </c>
      <c r="H624" s="202"/>
    </row>
    <row r="625" spans="1:8" ht="30.75">
      <c r="A625" s="72" t="s">
        <v>475</v>
      </c>
      <c r="B625" s="20" t="s">
        <v>62</v>
      </c>
      <c r="C625" s="20"/>
      <c r="D625" s="21"/>
      <c r="E625" s="260">
        <f>SUM(E626:E627)</f>
        <v>621.6</v>
      </c>
      <c r="F625" s="260">
        <f>SUM(F626:F627)</f>
        <v>621.6</v>
      </c>
      <c r="G625" s="261">
        <f>SUM(G626:G627)</f>
        <v>621.6</v>
      </c>
      <c r="H625" s="202"/>
    </row>
    <row r="626" spans="1:8" ht="45">
      <c r="A626" s="12" t="s">
        <v>145</v>
      </c>
      <c r="B626" s="13" t="s">
        <v>62</v>
      </c>
      <c r="C626" s="13" t="s">
        <v>142</v>
      </c>
      <c r="D626" s="13" t="s">
        <v>23</v>
      </c>
      <c r="E626" s="262">
        <v>565.1</v>
      </c>
      <c r="F626" s="262">
        <v>565.1</v>
      </c>
      <c r="G626" s="262">
        <v>565.1</v>
      </c>
      <c r="H626" s="204"/>
    </row>
    <row r="627" spans="1:8" ht="15">
      <c r="A627" s="14" t="s">
        <v>146</v>
      </c>
      <c r="B627" s="17" t="s">
        <v>62</v>
      </c>
      <c r="C627" s="17" t="s">
        <v>143</v>
      </c>
      <c r="D627" s="17" t="s">
        <v>23</v>
      </c>
      <c r="E627" s="326">
        <v>56.5</v>
      </c>
      <c r="F627" s="326">
        <v>56.5</v>
      </c>
      <c r="G627" s="326">
        <v>56.5</v>
      </c>
      <c r="H627" s="202"/>
    </row>
    <row r="628" spans="1:8" ht="30.75">
      <c r="A628" s="72" t="s">
        <v>476</v>
      </c>
      <c r="B628" s="20" t="s">
        <v>543</v>
      </c>
      <c r="C628" s="20"/>
      <c r="D628" s="21"/>
      <c r="E628" s="260">
        <f>SUM(E629:E629)</f>
        <v>2322.2</v>
      </c>
      <c r="F628" s="260">
        <f>SUM(F629:F629)</f>
        <v>2151.6</v>
      </c>
      <c r="G628" s="261">
        <f>SUM(G629:G629)</f>
        <v>2023.8000000000002</v>
      </c>
      <c r="H628" s="202"/>
    </row>
    <row r="629" spans="1:8" ht="45">
      <c r="A629" s="23" t="s">
        <v>145</v>
      </c>
      <c r="B629" s="24" t="s">
        <v>543</v>
      </c>
      <c r="C629" s="24" t="s">
        <v>142</v>
      </c>
      <c r="D629" s="24" t="s">
        <v>13</v>
      </c>
      <c r="E629" s="274">
        <f>2378.5-56.3</f>
        <v>2322.2</v>
      </c>
      <c r="F629" s="274">
        <f>2256.4-104.8</f>
        <v>2151.6</v>
      </c>
      <c r="G629" s="320">
        <f>2256.4-232.6</f>
        <v>2023.8000000000002</v>
      </c>
      <c r="H629" s="202"/>
    </row>
    <row r="630" spans="1:7" ht="30.75" customHeight="1">
      <c r="A630" s="74" t="s">
        <v>37</v>
      </c>
      <c r="B630" s="67" t="s">
        <v>63</v>
      </c>
      <c r="C630" s="67"/>
      <c r="D630" s="68"/>
      <c r="E630" s="281">
        <f aca="true" t="shared" si="31" ref="E630:G631">E631</f>
        <v>361467.7</v>
      </c>
      <c r="F630" s="281">
        <f t="shared" si="31"/>
        <v>270717.19999999995</v>
      </c>
      <c r="G630" s="282">
        <f t="shared" si="31"/>
        <v>283419.39999999997</v>
      </c>
    </row>
    <row r="631" spans="1:7" ht="15.75">
      <c r="A631" s="88" t="s">
        <v>40</v>
      </c>
      <c r="B631" s="10" t="s">
        <v>64</v>
      </c>
      <c r="C631" s="10" t="s">
        <v>20</v>
      </c>
      <c r="D631" s="11"/>
      <c r="E631" s="260">
        <f t="shared" si="31"/>
        <v>361467.7</v>
      </c>
      <c r="F631" s="260">
        <f t="shared" si="31"/>
        <v>270717.19999999995</v>
      </c>
      <c r="G631" s="261">
        <f t="shared" si="31"/>
        <v>283419.39999999997</v>
      </c>
    </row>
    <row r="632" spans="1:7" ht="15.75">
      <c r="A632" s="130" t="s">
        <v>40</v>
      </c>
      <c r="B632" s="135" t="s">
        <v>65</v>
      </c>
      <c r="C632" s="135" t="s">
        <v>20</v>
      </c>
      <c r="D632" s="136"/>
      <c r="E632" s="278">
        <f>E633+E642+E644+E646+E648+E650+E652+E654+E656+E658+E660+E662+E664+E666+E670+E672+E676+E678+E684+E687+E689+E691+E694+E668+E674+E680+E682</f>
        <v>361467.7</v>
      </c>
      <c r="F632" s="278">
        <f>F633+F642+F644+F646+F648+F650+F652+F654+F656+F658+F660+F662+F664+F666+F670+F672+F676+F678+F684+F687+F689+F691+F694+F668+F674+F680+F682</f>
        <v>270717.19999999995</v>
      </c>
      <c r="G632" s="278">
        <f>G633+G642+G644+G646+G648+G650+G652+G654+G656+G658+G660+G662+G664+G666+G670+G672+G676+G678+G684+G687+G689+G691+G694+G668+G674+G680+G682</f>
        <v>283419.39999999997</v>
      </c>
    </row>
    <row r="633" spans="1:8" ht="15.75">
      <c r="A633" s="177" t="s">
        <v>252</v>
      </c>
      <c r="B633" s="178" t="s">
        <v>372</v>
      </c>
      <c r="C633" s="178"/>
      <c r="D633" s="179"/>
      <c r="E633" s="392">
        <f>E634+E635+E641+E636+E637+E639+E640+E638</f>
        <v>152115.3</v>
      </c>
      <c r="F633" s="392">
        <f>F634+F635+F641</f>
        <v>131744.3</v>
      </c>
      <c r="G633" s="392">
        <f>G634+G635+G641</f>
        <v>131744.3</v>
      </c>
      <c r="H633" s="202"/>
    </row>
    <row r="634" spans="1:8" ht="45">
      <c r="A634" s="12" t="s">
        <v>145</v>
      </c>
      <c r="B634" s="13" t="s">
        <v>372</v>
      </c>
      <c r="C634" s="13" t="s">
        <v>142</v>
      </c>
      <c r="D634" s="13" t="s">
        <v>13</v>
      </c>
      <c r="E634" s="262">
        <f>95508.4+10124.7</f>
        <v>105633.09999999999</v>
      </c>
      <c r="F634" s="262">
        <v>95508.4</v>
      </c>
      <c r="G634" s="262">
        <v>95508.4</v>
      </c>
      <c r="H634" s="204"/>
    </row>
    <row r="635" spans="1:9" ht="15">
      <c r="A635" s="14" t="s">
        <v>146</v>
      </c>
      <c r="B635" s="15" t="s">
        <v>372</v>
      </c>
      <c r="C635" s="15" t="s">
        <v>143</v>
      </c>
      <c r="D635" s="15" t="s">
        <v>13</v>
      </c>
      <c r="E635" s="326">
        <f>43298.2-12+27.6+313.5+934.1</f>
        <v>44561.399999999994</v>
      </c>
      <c r="F635" s="326">
        <f>35237.9-12</f>
        <v>35225.9</v>
      </c>
      <c r="G635" s="327">
        <f>35237.9-12</f>
        <v>35225.9</v>
      </c>
      <c r="H635" s="202"/>
      <c r="I635" s="40"/>
    </row>
    <row r="636" spans="1:9" ht="15">
      <c r="A636" s="14" t="s">
        <v>146</v>
      </c>
      <c r="B636" s="15" t="s">
        <v>372</v>
      </c>
      <c r="C636" s="15" t="s">
        <v>143</v>
      </c>
      <c r="D636" s="15" t="s">
        <v>26</v>
      </c>
      <c r="E636" s="326">
        <v>100</v>
      </c>
      <c r="F636" s="326">
        <v>0</v>
      </c>
      <c r="G636" s="327">
        <v>0</v>
      </c>
      <c r="H636" s="202"/>
      <c r="I636" s="40"/>
    </row>
    <row r="637" spans="1:9" ht="15">
      <c r="A637" s="14" t="s">
        <v>146</v>
      </c>
      <c r="B637" s="15" t="s">
        <v>372</v>
      </c>
      <c r="C637" s="15" t="s">
        <v>143</v>
      </c>
      <c r="D637" s="15" t="s">
        <v>27</v>
      </c>
      <c r="E637" s="326">
        <v>299.8</v>
      </c>
      <c r="F637" s="326">
        <v>0</v>
      </c>
      <c r="G637" s="327">
        <v>0</v>
      </c>
      <c r="H637" s="202"/>
      <c r="I637" s="40"/>
    </row>
    <row r="638" spans="1:9" ht="15">
      <c r="A638" s="14" t="s">
        <v>146</v>
      </c>
      <c r="B638" s="15" t="s">
        <v>372</v>
      </c>
      <c r="C638" s="15" t="s">
        <v>143</v>
      </c>
      <c r="D638" s="15" t="s">
        <v>30</v>
      </c>
      <c r="E638" s="326">
        <v>100</v>
      </c>
      <c r="F638" s="326">
        <v>0</v>
      </c>
      <c r="G638" s="327">
        <v>0</v>
      </c>
      <c r="H638" s="202"/>
      <c r="I638" s="40"/>
    </row>
    <row r="639" spans="1:9" ht="15">
      <c r="A639" s="14" t="s">
        <v>155</v>
      </c>
      <c r="B639" s="15" t="s">
        <v>372</v>
      </c>
      <c r="C639" s="15" t="s">
        <v>154</v>
      </c>
      <c r="D639" s="15" t="s">
        <v>27</v>
      </c>
      <c r="E639" s="326">
        <v>100</v>
      </c>
      <c r="F639" s="326">
        <v>0</v>
      </c>
      <c r="G639" s="327">
        <v>0</v>
      </c>
      <c r="H639" s="202"/>
      <c r="I639" s="40"/>
    </row>
    <row r="640" spans="1:9" ht="15">
      <c r="A640" s="14" t="s">
        <v>155</v>
      </c>
      <c r="B640" s="15" t="s">
        <v>372</v>
      </c>
      <c r="C640" s="15" t="s">
        <v>154</v>
      </c>
      <c r="D640" s="15" t="s">
        <v>126</v>
      </c>
      <c r="E640" s="326">
        <v>100</v>
      </c>
      <c r="F640" s="326">
        <v>0</v>
      </c>
      <c r="G640" s="327">
        <v>0</v>
      </c>
      <c r="H640" s="202"/>
      <c r="I640" s="40"/>
    </row>
    <row r="641" spans="1:8" ht="15">
      <c r="A641" s="180" t="s">
        <v>147</v>
      </c>
      <c r="B641" s="91" t="s">
        <v>372</v>
      </c>
      <c r="C641" s="91" t="s">
        <v>144</v>
      </c>
      <c r="D641" s="91" t="s">
        <v>13</v>
      </c>
      <c r="E641" s="374">
        <v>1221</v>
      </c>
      <c r="F641" s="374">
        <v>1010</v>
      </c>
      <c r="G641" s="375">
        <v>1010</v>
      </c>
      <c r="H641" s="202"/>
    </row>
    <row r="642" spans="1:8" ht="15.75">
      <c r="A642" s="72" t="s">
        <v>133</v>
      </c>
      <c r="B642" s="20" t="s">
        <v>134</v>
      </c>
      <c r="C642" s="20"/>
      <c r="D642" s="21"/>
      <c r="E642" s="260">
        <f>E643</f>
        <v>24614.399999999998</v>
      </c>
      <c r="F642" s="260">
        <f>F643</f>
        <v>24677</v>
      </c>
      <c r="G642" s="261">
        <f>G643</f>
        <v>24677</v>
      </c>
      <c r="H642" s="202"/>
    </row>
    <row r="643" spans="1:8" ht="15">
      <c r="A643" s="22" t="s">
        <v>158</v>
      </c>
      <c r="B643" s="18" t="s">
        <v>134</v>
      </c>
      <c r="C643" s="18" t="s">
        <v>156</v>
      </c>
      <c r="D643" s="18" t="s">
        <v>132</v>
      </c>
      <c r="E643" s="264">
        <f>23017.6+1111.2+485.6</f>
        <v>24614.399999999998</v>
      </c>
      <c r="F643" s="264">
        <f>23017.6+1111.2+548.2</f>
        <v>24677</v>
      </c>
      <c r="G643" s="264">
        <f>23017.6+1111.2+548.2</f>
        <v>24677</v>
      </c>
      <c r="H643" s="202"/>
    </row>
    <row r="644" spans="1:8" ht="30.75">
      <c r="A644" s="88" t="s">
        <v>611</v>
      </c>
      <c r="B644" s="10" t="s">
        <v>66</v>
      </c>
      <c r="C644" s="10"/>
      <c r="D644" s="11"/>
      <c r="E644" s="260">
        <f>E645</f>
        <v>206.9</v>
      </c>
      <c r="F644" s="260">
        <f>F645</f>
        <v>206.9</v>
      </c>
      <c r="G644" s="261">
        <f>G645</f>
        <v>206.9</v>
      </c>
      <c r="H644" s="202"/>
    </row>
    <row r="645" spans="1:8" ht="15">
      <c r="A645" s="16" t="s">
        <v>158</v>
      </c>
      <c r="B645" s="17" t="s">
        <v>66</v>
      </c>
      <c r="C645" s="17" t="s">
        <v>156</v>
      </c>
      <c r="D645" s="17" t="s">
        <v>13</v>
      </c>
      <c r="E645" s="264">
        <v>206.9</v>
      </c>
      <c r="F645" s="264">
        <v>206.9</v>
      </c>
      <c r="G645" s="265">
        <v>206.9</v>
      </c>
      <c r="H645" s="202"/>
    </row>
    <row r="646" spans="1:8" ht="30.75">
      <c r="A646" s="88" t="s">
        <v>116</v>
      </c>
      <c r="B646" s="10" t="s">
        <v>115</v>
      </c>
      <c r="C646" s="10"/>
      <c r="D646" s="11"/>
      <c r="E646" s="260">
        <f>E647</f>
        <v>194.1</v>
      </c>
      <c r="F646" s="260">
        <f>F647</f>
        <v>194.1</v>
      </c>
      <c r="G646" s="261">
        <f>G647</f>
        <v>194.1</v>
      </c>
      <c r="H646" s="202"/>
    </row>
    <row r="647" spans="1:8" ht="15">
      <c r="A647" s="16" t="s">
        <v>158</v>
      </c>
      <c r="B647" s="17" t="s">
        <v>115</v>
      </c>
      <c r="C647" s="17" t="s">
        <v>156</v>
      </c>
      <c r="D647" s="17" t="s">
        <v>13</v>
      </c>
      <c r="E647" s="264">
        <v>194.1</v>
      </c>
      <c r="F647" s="264">
        <v>194.1</v>
      </c>
      <c r="G647" s="265">
        <v>194.1</v>
      </c>
      <c r="H647" s="202"/>
    </row>
    <row r="648" spans="1:8" ht="15.75">
      <c r="A648" s="88" t="s">
        <v>81</v>
      </c>
      <c r="B648" s="10" t="s">
        <v>67</v>
      </c>
      <c r="C648" s="10"/>
      <c r="D648" s="11"/>
      <c r="E648" s="260">
        <f>E649</f>
        <v>59102.1</v>
      </c>
      <c r="F648" s="260">
        <f>F649</f>
        <v>78217.5</v>
      </c>
      <c r="G648" s="261">
        <f>G649</f>
        <v>90738.09999999999</v>
      </c>
      <c r="H648" s="202"/>
    </row>
    <row r="649" spans="1:8" ht="15">
      <c r="A649" s="16" t="s">
        <v>147</v>
      </c>
      <c r="B649" s="17" t="s">
        <v>67</v>
      </c>
      <c r="C649" s="17" t="s">
        <v>144</v>
      </c>
      <c r="D649" s="17" t="s">
        <v>43</v>
      </c>
      <c r="E649" s="264">
        <f>68567.5-8800.8-664.6</f>
        <v>59102.1</v>
      </c>
      <c r="F649" s="264">
        <f>76183.2-17.5+2051.8</f>
        <v>78217.5</v>
      </c>
      <c r="G649" s="265">
        <f>88714.2+12-0.1+2012</f>
        <v>90738.09999999999</v>
      </c>
      <c r="H649" s="202"/>
    </row>
    <row r="650" spans="1:8" ht="30.75">
      <c r="A650" s="88" t="s">
        <v>131</v>
      </c>
      <c r="B650" s="10" t="s">
        <v>68</v>
      </c>
      <c r="C650" s="10"/>
      <c r="D650" s="11"/>
      <c r="E650" s="260">
        <f>E651</f>
        <v>1150</v>
      </c>
      <c r="F650" s="260">
        <f>F651</f>
        <v>1150</v>
      </c>
      <c r="G650" s="261">
        <f>G651</f>
        <v>1150</v>
      </c>
      <c r="H650" s="202"/>
    </row>
    <row r="651" spans="1:8" ht="15">
      <c r="A651" s="16" t="s">
        <v>147</v>
      </c>
      <c r="B651" s="17" t="s">
        <v>68</v>
      </c>
      <c r="C651" s="18" t="s">
        <v>144</v>
      </c>
      <c r="D651" s="17" t="s">
        <v>13</v>
      </c>
      <c r="E651" s="264">
        <v>1150</v>
      </c>
      <c r="F651" s="264">
        <v>1150</v>
      </c>
      <c r="G651" s="265">
        <v>1150</v>
      </c>
      <c r="H651" s="202"/>
    </row>
    <row r="652" spans="1:8" ht="15.75">
      <c r="A652" s="88" t="s">
        <v>119</v>
      </c>
      <c r="B652" s="10" t="s">
        <v>120</v>
      </c>
      <c r="C652" s="10"/>
      <c r="D652" s="11"/>
      <c r="E652" s="260">
        <f>E653</f>
        <v>210</v>
      </c>
      <c r="F652" s="260">
        <f>F653</f>
        <v>210</v>
      </c>
      <c r="G652" s="261">
        <f>G653</f>
        <v>210</v>
      </c>
      <c r="H652" s="202"/>
    </row>
    <row r="653" spans="1:8" ht="15">
      <c r="A653" s="16" t="s">
        <v>147</v>
      </c>
      <c r="B653" s="17" t="s">
        <v>120</v>
      </c>
      <c r="C653" s="18" t="s">
        <v>144</v>
      </c>
      <c r="D653" s="17" t="s">
        <v>13</v>
      </c>
      <c r="E653" s="264">
        <v>210</v>
      </c>
      <c r="F653" s="264">
        <v>210</v>
      </c>
      <c r="G653" s="265">
        <v>210</v>
      </c>
      <c r="H653" s="202"/>
    </row>
    <row r="654" spans="1:8" ht="48.75" customHeight="1">
      <c r="A654" s="89" t="s">
        <v>203</v>
      </c>
      <c r="B654" s="49" t="s">
        <v>197</v>
      </c>
      <c r="C654" s="49"/>
      <c r="D654" s="50"/>
      <c r="E654" s="286">
        <f>E655</f>
        <v>405.6</v>
      </c>
      <c r="F654" s="286">
        <f>F655</f>
        <v>405.6</v>
      </c>
      <c r="G654" s="287">
        <f>G655</f>
        <v>405.6</v>
      </c>
      <c r="H654" s="202"/>
    </row>
    <row r="655" spans="1:8" ht="15">
      <c r="A655" s="16" t="s">
        <v>146</v>
      </c>
      <c r="B655" s="17" t="s">
        <v>197</v>
      </c>
      <c r="C655" s="17" t="s">
        <v>143</v>
      </c>
      <c r="D655" s="17" t="s">
        <v>114</v>
      </c>
      <c r="E655" s="264">
        <f>269.6+36+100</f>
        <v>405.6</v>
      </c>
      <c r="F655" s="264">
        <f>269.6+36+100</f>
        <v>405.6</v>
      </c>
      <c r="G655" s="264">
        <f>269.6+36+100</f>
        <v>405.6</v>
      </c>
      <c r="H655" s="202"/>
    </row>
    <row r="656" spans="1:8" ht="15.75">
      <c r="A656" s="89" t="s">
        <v>507</v>
      </c>
      <c r="B656" s="49" t="s">
        <v>506</v>
      </c>
      <c r="C656" s="49"/>
      <c r="D656" s="50"/>
      <c r="E656" s="286">
        <f>E657</f>
        <v>14500</v>
      </c>
      <c r="F656" s="286">
        <f>F657</f>
        <v>0</v>
      </c>
      <c r="G656" s="287">
        <f>G657</f>
        <v>0</v>
      </c>
      <c r="H656" s="202"/>
    </row>
    <row r="657" spans="1:8" ht="15">
      <c r="A657" s="16" t="s">
        <v>146</v>
      </c>
      <c r="B657" s="17" t="s">
        <v>506</v>
      </c>
      <c r="C657" s="17" t="s">
        <v>143</v>
      </c>
      <c r="D657" s="17" t="s">
        <v>44</v>
      </c>
      <c r="E657" s="264">
        <v>14500</v>
      </c>
      <c r="F657" s="264">
        <v>0</v>
      </c>
      <c r="G657" s="265">
        <v>0</v>
      </c>
      <c r="H657" s="202"/>
    </row>
    <row r="658" spans="1:8" ht="15.75">
      <c r="A658" s="89" t="s">
        <v>80</v>
      </c>
      <c r="B658" s="49" t="s">
        <v>69</v>
      </c>
      <c r="C658" s="49"/>
      <c r="D658" s="50"/>
      <c r="E658" s="286">
        <f>E659</f>
        <v>6392.3</v>
      </c>
      <c r="F658" s="286">
        <f>F659</f>
        <v>3994.3</v>
      </c>
      <c r="G658" s="287">
        <f>G659</f>
        <v>3994.3</v>
      </c>
      <c r="H658" s="202"/>
    </row>
    <row r="659" spans="1:8" ht="15">
      <c r="A659" s="16" t="s">
        <v>146</v>
      </c>
      <c r="B659" s="17" t="s">
        <v>69</v>
      </c>
      <c r="C659" s="17" t="s">
        <v>143</v>
      </c>
      <c r="D659" s="17" t="s">
        <v>13</v>
      </c>
      <c r="E659" s="264">
        <f>3994.3+2672.5-274.6+0.1</f>
        <v>6392.3</v>
      </c>
      <c r="F659" s="264">
        <v>3994.3</v>
      </c>
      <c r="G659" s="264">
        <v>3994.3</v>
      </c>
      <c r="H659" s="202"/>
    </row>
    <row r="660" spans="1:8" ht="30.75">
      <c r="A660" s="181" t="s">
        <v>79</v>
      </c>
      <c r="B660" s="159" t="s">
        <v>70</v>
      </c>
      <c r="C660" s="159"/>
      <c r="D660" s="182"/>
      <c r="E660" s="328">
        <f>E661</f>
        <v>139</v>
      </c>
      <c r="F660" s="328">
        <f>F661</f>
        <v>239</v>
      </c>
      <c r="G660" s="329">
        <f>G661</f>
        <v>239</v>
      </c>
      <c r="H660" s="202"/>
    </row>
    <row r="661" spans="1:8" ht="15">
      <c r="A661" s="23" t="s">
        <v>146</v>
      </c>
      <c r="B661" s="24" t="s">
        <v>70</v>
      </c>
      <c r="C661" s="24" t="s">
        <v>143</v>
      </c>
      <c r="D661" s="24" t="s">
        <v>13</v>
      </c>
      <c r="E661" s="274">
        <f>239-100</f>
        <v>139</v>
      </c>
      <c r="F661" s="274">
        <v>239</v>
      </c>
      <c r="G661" s="320">
        <v>239</v>
      </c>
      <c r="H661" s="202"/>
    </row>
    <row r="662" spans="1:8" ht="15.75">
      <c r="A662" s="89" t="s">
        <v>205</v>
      </c>
      <c r="B662" s="183" t="s">
        <v>204</v>
      </c>
      <c r="C662" s="184"/>
      <c r="D662" s="183"/>
      <c r="E662" s="286">
        <f>E663</f>
        <v>500</v>
      </c>
      <c r="F662" s="286">
        <f>F663</f>
        <v>500</v>
      </c>
      <c r="G662" s="287">
        <f>G663</f>
        <v>500</v>
      </c>
      <c r="H662" s="202"/>
    </row>
    <row r="663" spans="1:8" ht="15">
      <c r="A663" s="16" t="s">
        <v>146</v>
      </c>
      <c r="B663" s="160" t="s">
        <v>204</v>
      </c>
      <c r="C663" s="160" t="s">
        <v>143</v>
      </c>
      <c r="D663" s="160" t="s">
        <v>44</v>
      </c>
      <c r="E663" s="264">
        <v>500</v>
      </c>
      <c r="F663" s="264">
        <v>500</v>
      </c>
      <c r="G663" s="265">
        <v>500</v>
      </c>
      <c r="H663" s="202"/>
    </row>
    <row r="664" spans="1:8" ht="15.75">
      <c r="A664" s="89" t="s">
        <v>78</v>
      </c>
      <c r="B664" s="183" t="s">
        <v>71</v>
      </c>
      <c r="C664" s="184"/>
      <c r="D664" s="183"/>
      <c r="E664" s="286">
        <f>E665</f>
        <v>500</v>
      </c>
      <c r="F664" s="286">
        <f>F665</f>
        <v>500</v>
      </c>
      <c r="G664" s="287">
        <f>G665</f>
        <v>500</v>
      </c>
      <c r="H664" s="202"/>
    </row>
    <row r="665" spans="1:8" ht="15">
      <c r="A665" s="16" t="s">
        <v>146</v>
      </c>
      <c r="B665" s="160" t="s">
        <v>71</v>
      </c>
      <c r="C665" s="160" t="s">
        <v>143</v>
      </c>
      <c r="D665" s="160" t="s">
        <v>44</v>
      </c>
      <c r="E665" s="264">
        <v>500</v>
      </c>
      <c r="F665" s="264">
        <v>500</v>
      </c>
      <c r="G665" s="265">
        <v>500</v>
      </c>
      <c r="H665" s="202"/>
    </row>
    <row r="666" spans="1:8" ht="15.75">
      <c r="A666" s="88" t="s">
        <v>77</v>
      </c>
      <c r="B666" s="10" t="s">
        <v>72</v>
      </c>
      <c r="C666" s="10" t="s">
        <v>20</v>
      </c>
      <c r="D666" s="11"/>
      <c r="E666" s="260">
        <f>SUM(E667:E667)</f>
        <v>1770.6</v>
      </c>
      <c r="F666" s="260">
        <f>SUM(F667:F667)</f>
        <v>1350</v>
      </c>
      <c r="G666" s="261">
        <f>SUM(G667:G667)</f>
        <v>1350</v>
      </c>
      <c r="H666" s="202"/>
    </row>
    <row r="667" spans="1:8" ht="15">
      <c r="A667" s="16" t="s">
        <v>146</v>
      </c>
      <c r="B667" s="17" t="s">
        <v>72</v>
      </c>
      <c r="C667" s="17" t="s">
        <v>143</v>
      </c>
      <c r="D667" s="17" t="s">
        <v>31</v>
      </c>
      <c r="E667" s="264">
        <f>1350+68.6+352</f>
        <v>1770.6</v>
      </c>
      <c r="F667" s="264">
        <v>1350</v>
      </c>
      <c r="G667" s="265">
        <v>1350</v>
      </c>
      <c r="H667" s="202"/>
    </row>
    <row r="668" spans="1:8" ht="30.75">
      <c r="A668" s="404" t="s">
        <v>640</v>
      </c>
      <c r="B668" s="419" t="s">
        <v>641</v>
      </c>
      <c r="C668" s="162"/>
      <c r="D668" s="162"/>
      <c r="E668" s="316">
        <f>E669</f>
        <v>4584.7</v>
      </c>
      <c r="F668" s="316">
        <f>F669</f>
        <v>0</v>
      </c>
      <c r="G668" s="316">
        <f>G669</f>
        <v>0</v>
      </c>
      <c r="H668" s="202"/>
    </row>
    <row r="669" spans="1:8" ht="15">
      <c r="A669" s="420" t="s">
        <v>146</v>
      </c>
      <c r="B669" s="421" t="s">
        <v>641</v>
      </c>
      <c r="C669" s="63" t="s">
        <v>143</v>
      </c>
      <c r="D669" s="63" t="s">
        <v>39</v>
      </c>
      <c r="E669" s="369">
        <v>4584.7</v>
      </c>
      <c r="F669" s="369">
        <v>0</v>
      </c>
      <c r="G669" s="370">
        <v>0</v>
      </c>
      <c r="H669" s="202"/>
    </row>
    <row r="670" spans="1:8" ht="30.75">
      <c r="A670" s="72" t="s">
        <v>490</v>
      </c>
      <c r="B670" s="10" t="s">
        <v>73</v>
      </c>
      <c r="C670" s="10"/>
      <c r="D670" s="11"/>
      <c r="E670" s="260">
        <f>E671</f>
        <v>0</v>
      </c>
      <c r="F670" s="260">
        <f>F671</f>
        <v>352</v>
      </c>
      <c r="G670" s="261">
        <f>G671</f>
        <v>352</v>
      </c>
      <c r="H670" s="203"/>
    </row>
    <row r="671" spans="1:8" ht="15">
      <c r="A671" s="16" t="s">
        <v>146</v>
      </c>
      <c r="B671" s="17" t="s">
        <v>73</v>
      </c>
      <c r="C671" s="17" t="s">
        <v>143</v>
      </c>
      <c r="D671" s="17" t="s">
        <v>17</v>
      </c>
      <c r="E671" s="264">
        <f>352-352</f>
        <v>0</v>
      </c>
      <c r="F671" s="264">
        <v>352</v>
      </c>
      <c r="G671" s="265">
        <v>352</v>
      </c>
      <c r="H671" s="202"/>
    </row>
    <row r="672" spans="1:8" ht="30.75">
      <c r="A672" s="72" t="s">
        <v>488</v>
      </c>
      <c r="B672" s="10" t="s">
        <v>489</v>
      </c>
      <c r="C672" s="49"/>
      <c r="D672" s="50"/>
      <c r="E672" s="286">
        <f>E673</f>
        <v>940.9</v>
      </c>
      <c r="F672" s="286">
        <f>F673</f>
        <v>566.3</v>
      </c>
      <c r="G672" s="287">
        <f>G673</f>
        <v>566.3</v>
      </c>
      <c r="H672" s="202"/>
    </row>
    <row r="673" spans="1:8" ht="15">
      <c r="A673" s="22" t="s">
        <v>146</v>
      </c>
      <c r="B673" s="18" t="s">
        <v>489</v>
      </c>
      <c r="C673" s="17" t="s">
        <v>143</v>
      </c>
      <c r="D673" s="17" t="s">
        <v>16</v>
      </c>
      <c r="E673" s="264">
        <f>566.3+374.6</f>
        <v>940.9</v>
      </c>
      <c r="F673" s="264">
        <v>566.3</v>
      </c>
      <c r="G673" s="265">
        <v>566.3</v>
      </c>
      <c r="H673" s="202"/>
    </row>
    <row r="674" spans="1:8" ht="15.75">
      <c r="A674" s="404" t="s">
        <v>644</v>
      </c>
      <c r="B674" s="419" t="s">
        <v>645</v>
      </c>
      <c r="C674" s="162"/>
      <c r="D674" s="162"/>
      <c r="E674" s="316">
        <f>E675</f>
        <v>3800</v>
      </c>
      <c r="F674" s="316">
        <f>F675</f>
        <v>0</v>
      </c>
      <c r="G674" s="426">
        <f>G675</f>
        <v>0</v>
      </c>
      <c r="H674" s="202"/>
    </row>
    <row r="675" spans="1:8" ht="15">
      <c r="A675" s="420" t="s">
        <v>146</v>
      </c>
      <c r="B675" s="421" t="s">
        <v>645</v>
      </c>
      <c r="C675" s="63" t="s">
        <v>143</v>
      </c>
      <c r="D675" s="63" t="s">
        <v>27</v>
      </c>
      <c r="E675" s="369">
        <v>3800</v>
      </c>
      <c r="F675" s="369">
        <v>0</v>
      </c>
      <c r="G675" s="370">
        <v>0</v>
      </c>
      <c r="H675" s="202"/>
    </row>
    <row r="676" spans="1:8" ht="30.75">
      <c r="A676" s="72" t="s">
        <v>208</v>
      </c>
      <c r="B676" s="10" t="s">
        <v>207</v>
      </c>
      <c r="C676" s="10"/>
      <c r="D676" s="11"/>
      <c r="E676" s="260">
        <f>E677</f>
        <v>10000</v>
      </c>
      <c r="F676" s="260">
        <f>F677</f>
        <v>10000</v>
      </c>
      <c r="G676" s="261">
        <f>G677</f>
        <v>10000</v>
      </c>
      <c r="H676" s="202"/>
    </row>
    <row r="677" spans="1:8" ht="15">
      <c r="A677" s="16" t="s">
        <v>147</v>
      </c>
      <c r="B677" s="17" t="s">
        <v>207</v>
      </c>
      <c r="C677" s="17" t="s">
        <v>144</v>
      </c>
      <c r="D677" s="17" t="s">
        <v>13</v>
      </c>
      <c r="E677" s="264">
        <v>10000</v>
      </c>
      <c r="F677" s="264">
        <v>10000</v>
      </c>
      <c r="G677" s="264">
        <v>10000</v>
      </c>
      <c r="H677" s="202"/>
    </row>
    <row r="678" spans="1:8" ht="30.75">
      <c r="A678" s="152" t="s">
        <v>137</v>
      </c>
      <c r="B678" s="20" t="s">
        <v>138</v>
      </c>
      <c r="C678" s="69"/>
      <c r="D678" s="69"/>
      <c r="E678" s="286">
        <f>E679</f>
        <v>46.800000000000004</v>
      </c>
      <c r="F678" s="286">
        <f>F679</f>
        <v>48.7</v>
      </c>
      <c r="G678" s="287">
        <f>G679</f>
        <v>216.9</v>
      </c>
      <c r="H678" s="202"/>
    </row>
    <row r="679" spans="1:8" ht="15">
      <c r="A679" s="22" t="s">
        <v>146</v>
      </c>
      <c r="B679" s="18" t="s">
        <v>138</v>
      </c>
      <c r="C679" s="18" t="s">
        <v>143</v>
      </c>
      <c r="D679" s="18" t="s">
        <v>139</v>
      </c>
      <c r="E679" s="264">
        <f>13.6+33.2</f>
        <v>46.800000000000004</v>
      </c>
      <c r="F679" s="264">
        <f>11.8+36.9</f>
        <v>48.7</v>
      </c>
      <c r="G679" s="265">
        <v>216.9</v>
      </c>
      <c r="H679" s="202"/>
    </row>
    <row r="680" spans="1:8" ht="30.75">
      <c r="A680" s="404" t="s">
        <v>646</v>
      </c>
      <c r="B680" s="97" t="s">
        <v>647</v>
      </c>
      <c r="C680" s="96"/>
      <c r="D680" s="96"/>
      <c r="E680" s="316">
        <f>E681</f>
        <v>0</v>
      </c>
      <c r="F680" s="316">
        <f>F681</f>
        <v>0</v>
      </c>
      <c r="G680" s="428">
        <f>G681</f>
        <v>2907</v>
      </c>
      <c r="H680" s="202"/>
    </row>
    <row r="681" spans="1:8" ht="15">
      <c r="A681" s="241" t="s">
        <v>158</v>
      </c>
      <c r="B681" s="95" t="s">
        <v>647</v>
      </c>
      <c r="C681" s="95" t="s">
        <v>156</v>
      </c>
      <c r="D681" s="95" t="s">
        <v>32</v>
      </c>
      <c r="E681" s="299">
        <v>0</v>
      </c>
      <c r="F681" s="299">
        <v>0</v>
      </c>
      <c r="G681" s="397">
        <v>2907</v>
      </c>
      <c r="H681" s="202"/>
    </row>
    <row r="682" spans="1:8" ht="45.75">
      <c r="A682" s="404" t="s">
        <v>648</v>
      </c>
      <c r="B682" s="97" t="s">
        <v>649</v>
      </c>
      <c r="C682" s="96"/>
      <c r="D682" s="96"/>
      <c r="E682" s="316">
        <f>E683</f>
        <v>0</v>
      </c>
      <c r="F682" s="316">
        <f>F683</f>
        <v>2610</v>
      </c>
      <c r="G682" s="316">
        <f>G683</f>
        <v>0</v>
      </c>
      <c r="H682" s="202"/>
    </row>
    <row r="683" spans="1:8" ht="15">
      <c r="A683" s="241" t="s">
        <v>158</v>
      </c>
      <c r="B683" s="95" t="s">
        <v>649</v>
      </c>
      <c r="C683" s="95" t="s">
        <v>156</v>
      </c>
      <c r="D683" s="95" t="s">
        <v>32</v>
      </c>
      <c r="E683" s="299">
        <v>0</v>
      </c>
      <c r="F683" s="299">
        <v>2610</v>
      </c>
      <c r="G683" s="300">
        <v>0</v>
      </c>
      <c r="H683" s="202"/>
    </row>
    <row r="684" spans="1:8" ht="30.75">
      <c r="A684" s="19" t="s">
        <v>476</v>
      </c>
      <c r="B684" s="92" t="s">
        <v>125</v>
      </c>
      <c r="C684" s="93"/>
      <c r="D684" s="92"/>
      <c r="E684" s="260">
        <f>SUM(E685:E686)</f>
        <v>3996.2000000000003</v>
      </c>
      <c r="F684" s="260">
        <f>SUM(F685:F686)</f>
        <v>4200.900000000001</v>
      </c>
      <c r="G684" s="261">
        <f>SUM(G685:G686)</f>
        <v>4354.3</v>
      </c>
      <c r="H684" s="202"/>
    </row>
    <row r="685" spans="1:8" ht="45">
      <c r="A685" s="30" t="s">
        <v>145</v>
      </c>
      <c r="B685" s="31" t="s">
        <v>125</v>
      </c>
      <c r="C685" s="31" t="s">
        <v>142</v>
      </c>
      <c r="D685" s="31" t="s">
        <v>13</v>
      </c>
      <c r="E685" s="393">
        <f>3273.8+56.4</f>
        <v>3330.2000000000003</v>
      </c>
      <c r="F685" s="393">
        <f>3395.9+104.9</f>
        <v>3500.8</v>
      </c>
      <c r="G685" s="394">
        <v>3628.6</v>
      </c>
      <c r="H685" s="202"/>
    </row>
    <row r="686" spans="1:8" ht="15">
      <c r="A686" s="32" t="s">
        <v>146</v>
      </c>
      <c r="B686" s="33" t="s">
        <v>125</v>
      </c>
      <c r="C686" s="33" t="s">
        <v>143</v>
      </c>
      <c r="D686" s="33" t="s">
        <v>13</v>
      </c>
      <c r="E686" s="395">
        <f>654.8+11.2</f>
        <v>666</v>
      </c>
      <c r="F686" s="395">
        <f>679.2+21-0.1</f>
        <v>700.1</v>
      </c>
      <c r="G686" s="396">
        <v>725.7</v>
      </c>
      <c r="H686" s="202"/>
    </row>
    <row r="687" spans="1:8" s="41" customFormat="1" ht="30.75">
      <c r="A687" s="19" t="s">
        <v>475</v>
      </c>
      <c r="B687" s="92" t="s">
        <v>74</v>
      </c>
      <c r="C687" s="93"/>
      <c r="D687" s="92"/>
      <c r="E687" s="362">
        <f>SUM(E688:E688)</f>
        <v>1669.6</v>
      </c>
      <c r="F687" s="362">
        <f>SUM(F688:F688)</f>
        <v>1669.6</v>
      </c>
      <c r="G687" s="363">
        <f>SUM(G688:G688)</f>
        <v>1669.6</v>
      </c>
      <c r="H687" s="202"/>
    </row>
    <row r="688" spans="1:8" s="41" customFormat="1" ht="15">
      <c r="A688" s="32" t="s">
        <v>146</v>
      </c>
      <c r="B688" s="33" t="s">
        <v>74</v>
      </c>
      <c r="C688" s="33" t="s">
        <v>143</v>
      </c>
      <c r="D688" s="33" t="s">
        <v>35</v>
      </c>
      <c r="E688" s="274">
        <v>1669.6</v>
      </c>
      <c r="F688" s="274">
        <v>1669.6</v>
      </c>
      <c r="G688" s="320">
        <v>1669.6</v>
      </c>
      <c r="H688" s="202"/>
    </row>
    <row r="689" spans="1:8" s="41" customFormat="1" ht="30.75">
      <c r="A689" s="161" t="s">
        <v>76</v>
      </c>
      <c r="B689" s="183" t="s">
        <v>75</v>
      </c>
      <c r="C689" s="13"/>
      <c r="D689" s="183"/>
      <c r="E689" s="286">
        <f>E690</f>
        <v>437</v>
      </c>
      <c r="F689" s="286">
        <f>F690</f>
        <v>781</v>
      </c>
      <c r="G689" s="287">
        <f>G690</f>
        <v>344</v>
      </c>
      <c r="H689" s="202"/>
    </row>
    <row r="690" spans="1:8" s="41" customFormat="1" ht="15">
      <c r="A690" s="22" t="s">
        <v>158</v>
      </c>
      <c r="B690" s="18" t="s">
        <v>75</v>
      </c>
      <c r="C690" s="18" t="s">
        <v>156</v>
      </c>
      <c r="D690" s="18" t="s">
        <v>32</v>
      </c>
      <c r="E690" s="264">
        <v>437</v>
      </c>
      <c r="F690" s="264">
        <v>781</v>
      </c>
      <c r="G690" s="265">
        <v>344</v>
      </c>
      <c r="H690" s="202"/>
    </row>
    <row r="691" spans="1:8" s="41" customFormat="1" ht="60.75">
      <c r="A691" s="412" t="s">
        <v>568</v>
      </c>
      <c r="B691" s="495" t="s">
        <v>567</v>
      </c>
      <c r="C691" s="496"/>
      <c r="D691" s="496"/>
      <c r="E691" s="497">
        <f>E693+E692</f>
        <v>64000</v>
      </c>
      <c r="F691" s="497">
        <f>F693+F692</f>
        <v>0</v>
      </c>
      <c r="G691" s="498">
        <f>G693+G692</f>
        <v>0</v>
      </c>
      <c r="H691" s="202"/>
    </row>
    <row r="692" spans="1:8" s="41" customFormat="1" ht="15">
      <c r="A692" s="445" t="s">
        <v>151</v>
      </c>
      <c r="B692" s="446" t="s">
        <v>567</v>
      </c>
      <c r="C692" s="119" t="s">
        <v>150</v>
      </c>
      <c r="D692" s="119" t="s">
        <v>39</v>
      </c>
      <c r="E692" s="447">
        <v>2795.4</v>
      </c>
      <c r="F692" s="447">
        <v>0</v>
      </c>
      <c r="G692" s="454">
        <v>0</v>
      </c>
      <c r="H692" s="202"/>
    </row>
    <row r="693" spans="1:8" s="41" customFormat="1" ht="15">
      <c r="A693" s="420" t="s">
        <v>151</v>
      </c>
      <c r="B693" s="421" t="s">
        <v>567</v>
      </c>
      <c r="C693" s="112" t="s">
        <v>150</v>
      </c>
      <c r="D693" s="112" t="s">
        <v>528</v>
      </c>
      <c r="E693" s="444">
        <f>64000-2795.4</f>
        <v>61204.6</v>
      </c>
      <c r="F693" s="444">
        <v>0</v>
      </c>
      <c r="G693" s="481">
        <v>0</v>
      </c>
      <c r="H693" s="202"/>
    </row>
    <row r="694" spans="1:7" ht="75.75">
      <c r="A694" s="412" t="s">
        <v>624</v>
      </c>
      <c r="B694" s="495" t="s">
        <v>580</v>
      </c>
      <c r="C694" s="496"/>
      <c r="D694" s="496"/>
      <c r="E694" s="497">
        <f>E697+E695+E696</f>
        <v>10192.199999999999</v>
      </c>
      <c r="F694" s="497">
        <f>F697+F695</f>
        <v>7100</v>
      </c>
      <c r="G694" s="498">
        <f>G697+G695</f>
        <v>7100</v>
      </c>
    </row>
    <row r="695" spans="1:7" ht="15">
      <c r="A695" s="491" t="s">
        <v>151</v>
      </c>
      <c r="B695" s="492" t="s">
        <v>580</v>
      </c>
      <c r="C695" s="115" t="s">
        <v>150</v>
      </c>
      <c r="D695" s="115" t="s">
        <v>39</v>
      </c>
      <c r="E695" s="493">
        <f>275.8+559.2</f>
        <v>835</v>
      </c>
      <c r="F695" s="493">
        <v>0</v>
      </c>
      <c r="G695" s="494">
        <v>0</v>
      </c>
    </row>
    <row r="696" spans="1:7" ht="15">
      <c r="A696" s="445" t="s">
        <v>151</v>
      </c>
      <c r="B696" s="446" t="s">
        <v>580</v>
      </c>
      <c r="C696" s="119" t="s">
        <v>150</v>
      </c>
      <c r="D696" s="119" t="s">
        <v>16</v>
      </c>
      <c r="E696" s="447">
        <v>1043.8</v>
      </c>
      <c r="F696" s="447">
        <v>0</v>
      </c>
      <c r="G696" s="471">
        <v>0</v>
      </c>
    </row>
    <row r="697" spans="1:7" ht="15">
      <c r="A697" s="420" t="s">
        <v>151</v>
      </c>
      <c r="B697" s="421" t="s">
        <v>580</v>
      </c>
      <c r="C697" s="112" t="s">
        <v>150</v>
      </c>
      <c r="D697" s="112" t="s">
        <v>130</v>
      </c>
      <c r="E697" s="444">
        <f>7100-275.8-1603+3092.2</f>
        <v>8313.4</v>
      </c>
      <c r="F697" s="444">
        <v>7100</v>
      </c>
      <c r="G697" s="397">
        <v>7100</v>
      </c>
    </row>
    <row r="699" spans="5:7" ht="12.75">
      <c r="E699" s="40"/>
      <c r="F699" s="40"/>
      <c r="G699" s="40"/>
    </row>
    <row r="700" spans="5:7" ht="12.75">
      <c r="E700" s="40"/>
      <c r="F700" s="40"/>
      <c r="G700" s="40"/>
    </row>
    <row r="701" spans="5:7" ht="12.75">
      <c r="E701" s="40"/>
      <c r="F701" s="40"/>
      <c r="G701" s="40"/>
    </row>
    <row r="703" spans="5:7" ht="12.75">
      <c r="E703" s="40"/>
      <c r="F703" s="40"/>
      <c r="G703" s="247"/>
    </row>
    <row r="705" spans="5:7" ht="12.75">
      <c r="E705" s="40"/>
      <c r="F705" s="40"/>
      <c r="G705" s="40"/>
    </row>
    <row r="707" spans="5:7" ht="12.75">
      <c r="E707" s="40"/>
      <c r="F707" s="40"/>
      <c r="G707" s="40"/>
    </row>
  </sheetData>
  <sheetProtection/>
  <autoFilter ref="A12:G697"/>
  <mergeCells count="10">
    <mergeCell ref="A8:G8"/>
    <mergeCell ref="A9:G9"/>
    <mergeCell ref="A10:G10"/>
    <mergeCell ref="A1:G1"/>
    <mergeCell ref="A2:G2"/>
    <mergeCell ref="A3:G3"/>
    <mergeCell ref="A4:G4"/>
    <mergeCell ref="A5:G5"/>
    <mergeCell ref="A6:G6"/>
    <mergeCell ref="A7:G7"/>
  </mergeCells>
  <printOptions horizontalCentered="1"/>
  <pageMargins left="0.984251968503937" right="0.5905511811023623" top="0.5905511811023623" bottom="0.5905511811023623" header="0.3937007874015748" footer="0.7480314960629921"/>
  <pageSetup fitToHeight="6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Ольга Лапшина</cp:lastModifiedBy>
  <cp:lastPrinted>2024-03-06T16:07:05Z</cp:lastPrinted>
  <dcterms:created xsi:type="dcterms:W3CDTF">2003-12-05T21:14:57Z</dcterms:created>
  <dcterms:modified xsi:type="dcterms:W3CDTF">2024-03-06T16:29:37Z</dcterms:modified>
  <cp:category/>
  <cp:version/>
  <cp:contentType/>
  <cp:contentStatus/>
</cp:coreProperties>
</file>