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285" windowWidth="11100" windowHeight="3285" activeTab="0"/>
  </bookViews>
  <sheets>
    <sheet name="Приложение 4" sheetId="1" r:id="rId1"/>
  </sheets>
  <definedNames>
    <definedName name="_xlnm._FilterDatabase" localSheetId="0" hidden="1">'Приложение 4'!$B$14:$G$1209</definedName>
    <definedName name="_xlnm.Print_Area" localSheetId="0">'Приложение 4'!$A$1:$J$1205</definedName>
  </definedNames>
  <calcPr fullCalcOnLoad="1"/>
</workbook>
</file>

<file path=xl/sharedStrings.xml><?xml version="1.0" encoding="utf-8"?>
<sst xmlns="http://schemas.openxmlformats.org/spreadsheetml/2006/main" count="6274" uniqueCount="776">
  <si>
    <t>Дорожное хозяйство (дорожные фонды)</t>
  </si>
  <si>
    <t>ВР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</si>
  <si>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</si>
  <si>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</si>
  <si>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</si>
  <si>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</si>
  <si>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</si>
  <si>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Другие вопросы в области средств массовой информации</t>
  </si>
  <si>
    <t>Культура и кинематография</t>
  </si>
  <si>
    <t xml:space="preserve">Другие вопросы в области культуры, кинематографии 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</si>
  <si>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</si>
  <si>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</si>
  <si>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Обеспечение деятельности Главы местной администрации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</si>
  <si>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</si>
  <si>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</si>
  <si>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041</t>
  </si>
  <si>
    <t>Национальная экономика</t>
  </si>
  <si>
    <t>Национальная безопасность и правоохранительная деятельность</t>
  </si>
  <si>
    <t>Социальное обеспечение населения</t>
  </si>
  <si>
    <t>Другие вопросы в области национальной экономики</t>
  </si>
  <si>
    <t>Пенсионное обеспечение</t>
  </si>
  <si>
    <t>Другие общегосударственные вопросы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</si>
  <si>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</si>
  <si>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</si>
  <si>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 xml:space="preserve">Муниципальная программа "Управление муниципальными финансами Кировского муниципального района Ленинградской области" </t>
  </si>
  <si>
    <t>Другие вопросы в области образования</t>
  </si>
  <si>
    <t>Непрограммные расходы органов местного самоуправления</t>
  </si>
  <si>
    <t>09</t>
  </si>
  <si>
    <t>10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</si>
  <si>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</si>
  <si>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</si>
  <si>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Обеспечение деятельности аппаратов органов местного самоуправления</t>
  </si>
  <si>
    <t>Муниципальная программа "Комплексное развитие  Кировского муниципального района Ленинградской области"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</si>
  <si>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</si>
  <si>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</si>
  <si>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Непрограммные расходы</t>
  </si>
  <si>
    <t xml:space="preserve">  </t>
  </si>
  <si>
    <t/>
  </si>
  <si>
    <t>№ п/п</t>
  </si>
  <si>
    <t>Наименование</t>
  </si>
  <si>
    <t>6</t>
  </si>
  <si>
    <t>Сельское хозяйство и рыболовство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</si>
  <si>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</si>
  <si>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</si>
  <si>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</si>
  <si>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</si>
  <si>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Социальная политика</t>
  </si>
  <si>
    <t>Резервные фонды</t>
  </si>
  <si>
    <t>3</t>
  </si>
  <si>
    <t>4</t>
  </si>
  <si>
    <t>5</t>
  </si>
  <si>
    <t>Прочие межбюджетные трансферты общего характера</t>
  </si>
  <si>
    <t>07</t>
  </si>
  <si>
    <t>03</t>
  </si>
  <si>
    <t>01</t>
  </si>
  <si>
    <t>04</t>
  </si>
  <si>
    <t>05</t>
  </si>
  <si>
    <t>06</t>
  </si>
  <si>
    <t>08</t>
  </si>
  <si>
    <t>012</t>
  </si>
  <si>
    <t>902</t>
  </si>
  <si>
    <t>Г</t>
  </si>
  <si>
    <t>Рз</t>
  </si>
  <si>
    <t>ПР</t>
  </si>
  <si>
    <t>ЦСР</t>
  </si>
  <si>
    <t>ВСЕГО</t>
  </si>
  <si>
    <t>7</t>
  </si>
  <si>
    <t>Культура</t>
  </si>
  <si>
    <t>Муниципальная программа "Развитие сельского хозяйства Кировского района Ленинградской области"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</si>
  <si>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</si>
  <si>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</si>
  <si>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 xml:space="preserve">   </t>
  </si>
  <si>
    <t>Физическая культура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</si>
  <si>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</si>
  <si>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</si>
  <si>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</si>
  <si>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расходов бюджета Кировского муниципального района Ленинградской области </t>
  </si>
  <si>
    <t>Охрана семьи и детства</t>
  </si>
  <si>
    <t xml:space="preserve"> </t>
  </si>
  <si>
    <t>02</t>
  </si>
  <si>
    <t>812</t>
  </si>
  <si>
    <t>022</t>
  </si>
  <si>
    <t>040</t>
  </si>
  <si>
    <t>Муниципальная программа "Развитие образования в Кировском муниципальном районе Ленинградской области"</t>
  </si>
  <si>
    <t>67 9 09 00000</t>
  </si>
  <si>
    <t>67 9 00 00000</t>
  </si>
  <si>
    <t>67 9 09 71010</t>
  </si>
  <si>
    <t>98 9 09 10070</t>
  </si>
  <si>
    <t>98 0 00 00000</t>
  </si>
  <si>
    <t>98 9 00 00000</t>
  </si>
  <si>
    <t>98 9 09 00000</t>
  </si>
  <si>
    <t>98 9 09 10350</t>
  </si>
  <si>
    <t>98 9 09 10300</t>
  </si>
  <si>
    <t>98 9 09 10310</t>
  </si>
  <si>
    <t>98 9 09 10050</t>
  </si>
  <si>
    <t>67 0 00 00000</t>
  </si>
  <si>
    <t>67 4 09 00000</t>
  </si>
  <si>
    <t>67 4 00 00000</t>
  </si>
  <si>
    <t>67 5 00 00000</t>
  </si>
  <si>
    <t>67 5 09 00000</t>
  </si>
  <si>
    <t>13</t>
  </si>
  <si>
    <t>67 9 09 71030</t>
  </si>
  <si>
    <t>67 9 09 71330</t>
  </si>
  <si>
    <t>67 9 09 71340</t>
  </si>
  <si>
    <t>67 9 09 71420</t>
  </si>
  <si>
    <t>67 9 09 71510</t>
  </si>
  <si>
    <t>67 9 09 71590</t>
  </si>
  <si>
    <t>98 9 09 10030</t>
  </si>
  <si>
    <t>12</t>
  </si>
  <si>
    <t>Основное мероприятие "Содействие развитию кадрового потенциала"</t>
  </si>
  <si>
    <t>98 9 09 71590</t>
  </si>
  <si>
    <t>11</t>
  </si>
  <si>
    <t>14</t>
  </si>
  <si>
    <t>98 9 09 10980</t>
  </si>
  <si>
    <t>98 9 09 71640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</si>
  <si>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</si>
  <si>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Организация выплаты вознаграждения, причитающегося приемным родителям</t>
  </si>
  <si>
    <t>98 9 09 15040</t>
  </si>
  <si>
    <t xml:space="preserve">Организация и осуществление деятельности по опеке и попечительству </t>
  </si>
  <si>
    <t xml:space="preserve">Осуществление полномочий Кировского района на мероприятия по содержанию автомобильных дорог </t>
  </si>
  <si>
    <t xml:space="preserve">Организация и проведение мероприятий в сфере культуры </t>
  </si>
  <si>
    <t>Подготовка граждан, желающих принять на воспитание в свою семью ребенка, оставшегося без попечения родителей</t>
  </si>
  <si>
    <t xml:space="preserve"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</si>
  <si>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</si>
  <si>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</si>
  <si>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</si>
  <si>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 xml:space="preserve">Резервный фонд администрации муниципального образования </t>
  </si>
  <si>
    <t xml:space="preserve">Процентные платежи по муниципальному долгу </t>
  </si>
  <si>
    <t xml:space="preserve">Оснащение оборудованием детских дошкольных организаций </t>
  </si>
  <si>
    <t>Обновление содержания дошкольного образования</t>
  </si>
  <si>
    <t xml:space="preserve">Создание дополнительных мест в учреждениях дошкольного образования за исключением организации строительства, реконструкции объектов и выкупа </t>
  </si>
  <si>
    <t xml:space="preserve">Обслуживание системы водоочистки образовательных организаций </t>
  </si>
  <si>
    <t xml:space="preserve">Обслуживание АПС в муниципальных образовательных организациях  </t>
  </si>
  <si>
    <t xml:space="preserve">Обеспечение функционирования канала связи с пожарными частями в муниципальных образовательных организациях  </t>
  </si>
  <si>
    <t xml:space="preserve">Проведение аттестации рабочих мест </t>
  </si>
  <si>
    <t xml:space="preserve">Обеспечение функционирования канала связи с пожарными частями в муниципальных образовательных организациях </t>
  </si>
  <si>
    <t xml:space="preserve">Проведение периодического медицинского осмотра работников образовательных учреждений  </t>
  </si>
  <si>
    <t xml:space="preserve">Поддержка талантливой молодежи </t>
  </si>
  <si>
    <t xml:space="preserve">Организация групп продленного дня в образовательных организациях </t>
  </si>
  <si>
    <t>Оснащение учебно-лабораторным оборудованием организаций, работающих по ФГОС</t>
  </si>
  <si>
    <t xml:space="preserve">Развитие воспитательного потенциала системы общего образования </t>
  </si>
  <si>
    <t>Государственная регламентация деятельности образовательных организаций</t>
  </si>
  <si>
    <t xml:space="preserve">Развитие системы  образования </t>
  </si>
  <si>
    <t>Развитие кадрового потенциала системы дошкольного, общего и дополнительного образования</t>
  </si>
  <si>
    <t xml:space="preserve">Поощрение педагогических работников района </t>
  </si>
  <si>
    <t>Развитие кадровых ресурсов</t>
  </si>
  <si>
    <t xml:space="preserve">Приобретение компьютерного оборудования для образовательных организаций в целях информатизации обучения </t>
  </si>
  <si>
    <t xml:space="preserve">Техническое сопровождение в целях информатизации обучения учащихся </t>
  </si>
  <si>
    <t>Благоустройство территорий образовательных организаций</t>
  </si>
  <si>
    <t xml:space="preserve">Организация мероприятий по комплексной безопасности муниципальных образовательных организаций  </t>
  </si>
  <si>
    <t>Основное мероприятие "Создание современной информационно-образовательной среды образовательных организаций"</t>
  </si>
  <si>
    <t xml:space="preserve">Мероприятия по ремонту автомобильных дорог </t>
  </si>
  <si>
    <t>67 1 00 00000</t>
  </si>
  <si>
    <t>67 1 09 00000</t>
  </si>
  <si>
    <t>67 3 00 00000</t>
  </si>
  <si>
    <t>67 3 09 00000</t>
  </si>
  <si>
    <t>Профессиональная подготовка, переподготовка и повышение квалификации</t>
  </si>
  <si>
    <t xml:space="preserve">Развитие кадрового потенциала системы дошкольного, общего и дополнительного образования 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</si>
  <si>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</si>
  <si>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</si>
  <si>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Муниципальная программа "Развитие образования Кировского муниципального района Ленинградской области" </t>
  </si>
  <si>
    <t xml:space="preserve">Муниципальная программа "Развитие и поддержка малого и среднего бизнеса в Кировском муниципальном районе Ленинградской области" </t>
  </si>
  <si>
    <t>98 9 09 10080</t>
  </si>
  <si>
    <t>Обновление содержания общего образования и развитие сети общеобразовательных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</si>
  <si>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</si>
  <si>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</si>
  <si>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</si>
  <si>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</si>
  <si>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Организация электронного и дистанционного обучения обучающихся в муниципальных общеобразовательных организациях</t>
  </si>
  <si>
    <t>98 9 09 59300</t>
  </si>
  <si>
    <t xml:space="preserve">Молодежная политика </t>
  </si>
  <si>
    <t>Дополнительное образование детей</t>
  </si>
  <si>
    <t>Организация и проведение мероприятий по гражданско-патриотическому воспитанию молодежи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</si>
  <si>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</si>
  <si>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Реализация комплекса мер по поддержке творческой и талантливой молодежи</t>
  </si>
  <si>
    <t>Организация и проведение спартакиады допризывной молодежи Кировского района Ленинградской области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</si>
  <si>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</si>
  <si>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Обеспечение безопасности дорожного движения</t>
  </si>
  <si>
    <t>Субсидии на возмещение части затрат на 1 литр произведенного молока</t>
  </si>
  <si>
    <t>98 9 09 03080</t>
  </si>
  <si>
    <t>Субсидии социально ориентированным некоммерческим общественным организациям 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</si>
  <si>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9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</si>
  <si>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</si>
  <si>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</si>
  <si>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</si>
  <si>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98 9 09 51200</t>
  </si>
  <si>
    <t>Другие вопросы в области физической культуры и спорта</t>
  </si>
  <si>
    <t>Строительство, реконструкция, приобретение и пристрой объектов для организации общего образования</t>
  </si>
  <si>
    <t>Проведение мероприятий, направленных на организацию охраны здоровья участников образовательного процесса</t>
  </si>
  <si>
    <t>Доплаты к пенсиям муниципальных служащих</t>
  </si>
  <si>
    <t xml:space="preserve">Оказание дополнительной финансовой помощи бюджетам поселений Кировского муниципального района Ленинградской области </t>
  </si>
  <si>
    <t>100</t>
  </si>
  <si>
    <t>200</t>
  </si>
  <si>
    <t>300</t>
  </si>
  <si>
    <t>800</t>
  </si>
  <si>
    <t>500</t>
  </si>
  <si>
    <t>600</t>
  </si>
  <si>
    <t>Межбюджетные трансферты</t>
  </si>
  <si>
    <t>700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</si>
  <si>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</si>
  <si>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</si>
  <si>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</si>
  <si>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Обслуживание государственного (муниципального) долга</t>
  </si>
  <si>
    <t>400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</si>
  <si>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</si>
  <si>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</si>
  <si>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</si>
  <si>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Муниципальная программа "Развитие рынка наружной рекламы в Кировском муниципальном районе Ленинградской области"</t>
  </si>
  <si>
    <t>67 9 09 71380</t>
  </si>
  <si>
    <t>Муниципальная программа "Развитие образования  Кировского муниципального района Ленинградской области"</t>
  </si>
  <si>
    <t xml:space="preserve">Муниципальная программа "Развитие образования  Кировского муниципального района Ленинградской области" </t>
  </si>
  <si>
    <t>Организация работы школьных лесничеств</t>
  </si>
  <si>
    <t>Замена электрических автоматов</t>
  </si>
  <si>
    <t>Наращивание компьютерного парка, создание новых информационных ресурсов и услуг для населения</t>
  </si>
  <si>
    <t xml:space="preserve">07 </t>
  </si>
  <si>
    <t>Основное мероприятие "Обслуживание охранно-пожарной сигнализации и вывода ее на пульт территориальных пожарных частей"</t>
  </si>
  <si>
    <t>Мероприятия по содержанию автомобильных дорог</t>
  </si>
  <si>
    <t>Мероприятия по капитальному ремонту (ремонту) прочих объектов</t>
  </si>
  <si>
    <t>Проведение обязательного психиатрического освидетельствования работников образовательных учреждений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</si>
  <si>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</si>
  <si>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Государственная поддержка отрасли культуры (Комплектование книжных фондов государственных и муниципальных библиотек )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</si>
  <si>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</si>
  <si>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</si>
  <si>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Периодическая печать и издательства</t>
  </si>
  <si>
    <t>Укрепление материально-технической базы учреждений общего образования</t>
  </si>
  <si>
    <t>Выполнение мероприятий на устранение аварийных ситуаций в муниципальных образовательных организациях</t>
  </si>
  <si>
    <t>Организация и проведение соревнований и спортивно массовых мероприятий для инвалидов</t>
  </si>
  <si>
    <t>Обеспечение функционирования модели персонифицированного финансирования дополнительного образования детей</t>
  </si>
  <si>
    <t>Массовый спорт</t>
  </si>
  <si>
    <t>Поддержка развития общественной инфраструктуры муниципального значения</t>
  </si>
  <si>
    <t>Обеспечение антитеррористической защищенности объектов (территорий)</t>
  </si>
  <si>
    <t xml:space="preserve">Организация отдыха детей и подростков </t>
  </si>
  <si>
    <t xml:space="preserve">Муниципальная программа "Развитие физической культуры и спорта, молодежной политики в Кировском муниципальном районе Ленинградской области" </t>
  </si>
  <si>
    <t>67 2 09 00000</t>
  </si>
  <si>
    <t>Обеспечение деятельности депутатов представительных органов муниципальных образований</t>
  </si>
  <si>
    <t>67 2 00 00000</t>
  </si>
  <si>
    <t xml:space="preserve">Мероприятия по капитальному ремонту (ремонту) дошкольных образовательных организаций  </t>
  </si>
  <si>
    <t xml:space="preserve">Мероприятия по капитальному ремонту (ремонту) общеобразовательных организаций </t>
  </si>
  <si>
    <t xml:space="preserve">Мероприятия по капитальному ремонту (ремонту) организаций дополнительного образования </t>
  </si>
  <si>
    <t>Организация отдыха, занятости подростков и молодежи в летний период</t>
  </si>
  <si>
    <t xml:space="preserve"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 </t>
  </si>
  <si>
    <t>Материально-техническое обеспечение молодежных коворкинг-центров</t>
  </si>
  <si>
    <t>Дотации на выравнивание бюджетной обеспеченности поселений из бюджета муниципального района</t>
  </si>
  <si>
    <t>Проведение капитального ремонта спортивных площадок (стадионов) общеобразовательных организаций</t>
  </si>
  <si>
    <t>Транспорт</t>
  </si>
  <si>
    <t>Мероприятия в сфере транспортного обслуживания населения</t>
  </si>
  <si>
    <t>Обслуживание государственного (муниципального) внутреннего долга</t>
  </si>
  <si>
    <t>Другие вопросы в области охраны окружающей среды</t>
  </si>
  <si>
    <t>Охрана окружающей среды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</si>
  <si>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</si>
  <si>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Капитальные вложения в объекты государственной (муниципальной) собственности местный бюджет</t>
  </si>
  <si>
    <t>Создание резервов материальных средств для ликвидации чрезвычайных ситуаций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</si>
  <si>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</si>
  <si>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</si>
  <si>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</si>
  <si>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98 9 09 10250</t>
  </si>
  <si>
    <t>Популяризация достижений в сельском хозяйстве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</si>
  <si>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</si>
  <si>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</si>
  <si>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</si>
  <si>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</si>
  <si>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</si>
  <si>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</si>
  <si>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</si>
  <si>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</si>
  <si>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</si>
  <si>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Организация и осуществление деятельности по постинтернатному сопровождению</t>
  </si>
  <si>
    <t>Организация профессионального образования и  дополнительного профессионального образования муниципальных служащих, иных работников ОМСУ и работников муниципальных учреждений</t>
  </si>
  <si>
    <t>98 9 09 10340</t>
  </si>
  <si>
    <t>Выполнение комплексных кадастровых работ</t>
  </si>
  <si>
    <t>98 9 09 19990</t>
  </si>
  <si>
    <t>Мероприятия по реализации инициативных проектов на территории Кировского муниципального района</t>
  </si>
  <si>
    <t>Укрепление материально-технической базы организаций дошкольного образования</t>
  </si>
  <si>
    <t>Организация охраны в муниципальных образовательных организациях путем экстреннего вызова группы задержания и оказание услуг по организации и обеспечению физической охраны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</si>
  <si>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</si>
  <si>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Спорт высших достижений</t>
  </si>
  <si>
    <t>67 4 09 00150</t>
  </si>
  <si>
    <t>Исполнение функций органов местного самоуправления</t>
  </si>
  <si>
    <t>67 5 09 00150</t>
  </si>
  <si>
    <t xml:space="preserve">Поддержка сельскохозяйственного производства </t>
  </si>
  <si>
    <t>Сфера профилактики безнадзорности и правонарушений несовершеннолетних</t>
  </si>
  <si>
    <t>Сфера административных правоотношений</t>
  </si>
  <si>
    <t>Сфера жилищных отношений</t>
  </si>
  <si>
    <t>Сфера архивного дела</t>
  </si>
  <si>
    <t>Организация мероприятий при осуществлении деятельности по обращению с животными без владельцев</t>
  </si>
  <si>
    <t>05 0 00 00000</t>
  </si>
  <si>
    <t xml:space="preserve">Комплексы процессных мероприятий </t>
  </si>
  <si>
    <t>05 4 00 00000</t>
  </si>
  <si>
    <t>05 4 07 00000</t>
  </si>
  <si>
    <t>05 4 07 06690</t>
  </si>
  <si>
    <t>05 4 07 72060</t>
  </si>
  <si>
    <t>01 0 00 00000</t>
  </si>
  <si>
    <t>01 4 00 00000</t>
  </si>
  <si>
    <t>01 4 01 00160</t>
  </si>
  <si>
    <t>Комплексы процессных мероприятий</t>
  </si>
  <si>
    <t>01 4 01 00000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</si>
  <si>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</si>
  <si>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Обеспечение деятельности (услуги, работы) муниципальных учреждений</t>
  </si>
  <si>
    <t>Осуществление переданных полномочий Российской Федерации на государственную регистрацию актов гражданского состояния</t>
  </si>
  <si>
    <t>08 0 00 00000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</si>
  <si>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</si>
  <si>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08 4 00 00000</t>
  </si>
  <si>
    <t>Комплекс процессных мероприятий "Обеспечение и поддержание в готовности сил и средств ГО и РСЧС Кировского муниципального района Ленинградской оласти"</t>
  </si>
  <si>
    <t>08 4 01 00000</t>
  </si>
  <si>
    <t>08 4 01 13000</t>
  </si>
  <si>
    <t>Подготовка руководящего состава, специалистов и населения в области гражданской обороны и защиты от чрезвычайных ситуаций</t>
  </si>
  <si>
    <t>08 4 01 13160</t>
  </si>
  <si>
    <t>03 0 00 00000</t>
  </si>
  <si>
    <t>03 4 00 00000</t>
  </si>
  <si>
    <t>03 4 01 00000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</si>
  <si>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</si>
  <si>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03 4 01 06270</t>
  </si>
  <si>
    <t>Поддержка сельскохозяйственного производства</t>
  </si>
  <si>
    <t>03 4 03 00000</t>
  </si>
  <si>
    <t>03 4 03 10780</t>
  </si>
  <si>
    <t>Комплекс процессных мероприятий "Устойчивое развитие сельских территорий Кировского района Ленинградской области"</t>
  </si>
  <si>
    <t>03 4 04 00000</t>
  </si>
  <si>
    <t>03 4 04 06240</t>
  </si>
  <si>
    <t>Комплекс процессных мероприятий "Развитие отрасли растениеводства Кировского района Ленинградской области"</t>
  </si>
  <si>
    <t>09 0 00 00000</t>
  </si>
  <si>
    <t>09 4 00 00000</t>
  </si>
  <si>
    <t>09 4 01 00000</t>
  </si>
  <si>
    <t>09 4 01 13530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</si>
  <si>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</si>
  <si>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09 4 02 00000</t>
  </si>
  <si>
    <t>Комплекс процессных мероприятий "Содержание, капитальный ремонт и ремонт автомобильных дорог общего пользования"</t>
  </si>
  <si>
    <t>09 4 02 95010</t>
  </si>
  <si>
    <t>09 4 02 11030</t>
  </si>
  <si>
    <t>09 4 02 11020</t>
  </si>
  <si>
    <t>11 0 00 00000</t>
  </si>
  <si>
    <t>11 4 00 00000</t>
  </si>
  <si>
    <t>11 4 01 00000</t>
  </si>
  <si>
    <t>Комплекс процессных мероприятий "Поддержка спроса"</t>
  </si>
  <si>
    <t>11 4 01 06360</t>
  </si>
  <si>
    <t>11 4 02 00000</t>
  </si>
  <si>
    <t>11 4 02 06320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</si>
  <si>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</si>
  <si>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11 4 02 06350</t>
  </si>
  <si>
    <t>02 0 00 00000</t>
  </si>
  <si>
    <t>04 0 00 00000</t>
  </si>
  <si>
    <t>04 4 00 00000</t>
  </si>
  <si>
    <t>04 4 01 00000</t>
  </si>
  <si>
    <t>04 4 01 11340</t>
  </si>
  <si>
    <t>Комплекс процессных мероприятий "Гражданско-патриотическое воспитание молодежи"</t>
  </si>
  <si>
    <t>04 4 02 00000</t>
  </si>
  <si>
    <t>04 4 02 11350</t>
  </si>
  <si>
    <t>Комплекс процессных мероприятий "Профилактика асоциального  поведения и употребления психоактивных  веществ в подростковой и молодежной среде"</t>
  </si>
  <si>
    <t>04 4 03 00000</t>
  </si>
  <si>
    <t>04 4 03 00160</t>
  </si>
  <si>
    <t>Комплекс процессных мероприятий "Создание условий и возможностей для успешной социализации и самореализации молодежи"</t>
  </si>
  <si>
    <t>Реализация комплекса мер по пропаганде семейных ценностей</t>
  </si>
  <si>
    <t>04 4 03 11360</t>
  </si>
  <si>
    <t>04 4 03 11370</t>
  </si>
  <si>
    <t>04 4 03 11380</t>
  </si>
  <si>
    <t>Молодежные форумы и молодежные массовые мероприятия</t>
  </si>
  <si>
    <t>04 4 03 12370</t>
  </si>
  <si>
    <t>04 4 04 00000</t>
  </si>
  <si>
    <t>04 4 04 11390</t>
  </si>
  <si>
    <t>Комплекс процессных мероприятий "Обеспечение отдыха, занятости детей, подростков и молодежи"</t>
  </si>
  <si>
    <t>02 4 00 00000</t>
  </si>
  <si>
    <t>02 4 11 00000</t>
  </si>
  <si>
    <t>02 4 11 71450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</si>
  <si>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</si>
  <si>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02 4 11 71470</t>
  </si>
  <si>
    <t>02 4 11 71480</t>
  </si>
  <si>
    <t>02 4 11 71490</t>
  </si>
  <si>
    <t>02 4 11 71500</t>
  </si>
  <si>
    <t>02 4 11 71720</t>
  </si>
  <si>
    <t>02 4 11 71430</t>
  </si>
  <si>
    <t>02 4 11 71460</t>
  </si>
  <si>
    <t>02 4 12 00000</t>
  </si>
  <si>
    <t>04 4 05 00000</t>
  </si>
  <si>
    <t>04 4 05 00160</t>
  </si>
  <si>
    <t>Комплекс процессных мероприятий  "Развитие физической культуры и спорта среди различных групп населения"</t>
  </si>
  <si>
    <t>04 4 05 11051</t>
  </si>
  <si>
    <t>04 4 05 11260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</si>
  <si>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</si>
  <si>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04 4 06 00000</t>
  </si>
  <si>
    <t>04 4 06 11270</t>
  </si>
  <si>
    <t xml:space="preserve"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 </t>
  </si>
  <si>
    <t>Комплекс процессных мероприятий "Развитие массового детско-юношеского спорта"</t>
  </si>
  <si>
    <t>04 4 07 00000</t>
  </si>
  <si>
    <t>04 4 07 11280</t>
  </si>
  <si>
    <t>Комплекс процессных мероприятий "Патриотическое воспитание молодежи средствами физической культуры и спорта"</t>
  </si>
  <si>
    <t>04 4 08 00000</t>
  </si>
  <si>
    <t>04 4 08 11290</t>
  </si>
  <si>
    <t>Комплекс процессных мероприятий "Развитие адаптивной физической культуры и спорта"</t>
  </si>
  <si>
    <t>04 4 09 00000</t>
  </si>
  <si>
    <t>04 4 09 11300</t>
  </si>
  <si>
    <t>Комплекс процессных мероприятий "Материально-техническое обеспечение физической культуры и спорта"</t>
  </si>
  <si>
    <t>04 4 10 00000</t>
  </si>
  <si>
    <t>04 4 10 00160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</si>
  <si>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</si>
  <si>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Приобретение товаров, работ, услуг в целях информирования населения о деятельности органов местного самоуправления</t>
  </si>
  <si>
    <t>05 4 09 00000</t>
  </si>
  <si>
    <t>05 4 09 06210</t>
  </si>
  <si>
    <t>05 4 09 06220</t>
  </si>
  <si>
    <t>Комплекс процессных мероприятий "Поддержка средств массовой информации"</t>
  </si>
  <si>
    <t>Расчет и предоставление дотаций на выравнивание бюджетной обеспеченности поселений</t>
  </si>
  <si>
    <t>07 0 00 00000</t>
  </si>
  <si>
    <t>07 4 00 00000</t>
  </si>
  <si>
    <t>07 4 03 00000</t>
  </si>
  <si>
    <t>07 4 03 10010</t>
  </si>
  <si>
    <t>Комплекс процессных мероприятий "Выполнение обязательств, связанных с привлечением муниципальных заимствований"</t>
  </si>
  <si>
    <t>Муниципальная программа "Управление муниципальными финансами Кировского муниципального района Ленинградской области"</t>
  </si>
  <si>
    <t>07 4 01 00000</t>
  </si>
  <si>
    <t>07 4 01 90050</t>
  </si>
  <si>
    <t>07 4 01 71010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</si>
  <si>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</si>
  <si>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07 4 02 00000</t>
  </si>
  <si>
    <t>07 4 02 95080</t>
  </si>
  <si>
    <t>07 4 02 95090</t>
  </si>
  <si>
    <t>Комплекс процессных мероприятий "Поддержка  бюджетов муниципальных образований поселений Кировского муниципального района Ленинградской области"</t>
  </si>
  <si>
    <t>98 9 09 00160</t>
  </si>
  <si>
    <t>10 0 00 00000</t>
  </si>
  <si>
    <t>10 4 06 00000</t>
  </si>
  <si>
    <t>10 4 00 00000</t>
  </si>
  <si>
    <t>06 0 00 00000</t>
  </si>
  <si>
    <t>06 4 00 00000</t>
  </si>
  <si>
    <t>06 4 01 00000</t>
  </si>
  <si>
    <t>06 4 01 17100</t>
  </si>
  <si>
    <t>Комплекс процессных мероприятий  "Капитальный ремонт (ремонт) объектов муниципальной собственности"</t>
  </si>
  <si>
    <t>06 4 01 17940</t>
  </si>
  <si>
    <t>06 4 01 17960</t>
  </si>
  <si>
    <t>06 4 01 17970</t>
  </si>
  <si>
    <t>Капитальный ремонт объектов физической культуры и спорта (УМП "Плавательный бассейн" по адресу: Ленинградская область, Кировский район, г.Кировск,ул.Молодежная, д.15)</t>
  </si>
  <si>
    <t>67 1 09 00150</t>
  </si>
  <si>
    <t>67 2 09 00150</t>
  </si>
  <si>
    <t>67 3 09 00150</t>
  </si>
  <si>
    <t>05 4 04 00000</t>
  </si>
  <si>
    <t>05 4 04 00160</t>
  </si>
  <si>
    <t>Комплекс процессных мероприятий "Развитие дополнительного образования в области искусств"</t>
  </si>
  <si>
    <t>Проведение периодического медицинского осмотра работников учреждений дополнительного образования в области искусств</t>
  </si>
  <si>
    <t>05 4 05 00000</t>
  </si>
  <si>
    <t>05 4 05 S5193</t>
  </si>
  <si>
    <t>Комплекс процессных мероприятий "Создание условий для развития искусства и творчества"</t>
  </si>
  <si>
    <t>05 4 06 00000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</si>
  <si>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</si>
  <si>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05 4 06 12210</t>
  </si>
  <si>
    <t xml:space="preserve">Обслуживание автоматической пожарной сигнализации (АПС)  </t>
  </si>
  <si>
    <t xml:space="preserve">Обеспечение функционирования канала связи с пожарными частями </t>
  </si>
  <si>
    <t>05 4 06 12240</t>
  </si>
  <si>
    <t>05 4 06 12340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</si>
  <si>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</si>
  <si>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05 4 06 12280</t>
  </si>
  <si>
    <t>05 4 04 11960</t>
  </si>
  <si>
    <t>05 4 01 00000</t>
  </si>
  <si>
    <t>Комплекс процессных мероприятий "Создание условий для развития библиотечного дела и популяризации чтения"</t>
  </si>
  <si>
    <t>05 4 01 00160</t>
  </si>
  <si>
    <t>05 4 01 S5195</t>
  </si>
  <si>
    <t>05 4 01 11120</t>
  </si>
  <si>
    <t>05 4 01 S4840</t>
  </si>
  <si>
    <t>05 4 02 00000</t>
  </si>
  <si>
    <t>Комплекс процессных мероприятий "Развитие и сохранение кадрового потенциала работников в учреждениях культуры"</t>
  </si>
  <si>
    <t>05 4 02 S0360</t>
  </si>
  <si>
    <t>05 4 03 00000</t>
  </si>
  <si>
    <t>05 4 03 10770</t>
  </si>
  <si>
    <t xml:space="preserve">Комплекс процессных мероприятий "Социокультурная деятельность" </t>
  </si>
  <si>
    <t>05 4 03 11070</t>
  </si>
  <si>
    <t>05 4 03 11160</t>
  </si>
  <si>
    <t>05 4 10 00000</t>
  </si>
  <si>
    <t>05 4 10 00150</t>
  </si>
  <si>
    <t>Комплекс процессных мероприятий "Обеспечение реализации муниципальной программы"</t>
  </si>
  <si>
    <t>02 4 03 00000</t>
  </si>
  <si>
    <t>02 4 03 S0190</t>
  </si>
  <si>
    <t>Комплекс процессных мероприятий "Обеспечение реализации программ дополнительного образования детей"</t>
  </si>
  <si>
    <t>02 4 01 00000</t>
  </si>
  <si>
    <t>Комплекс процессных мероприятий "Обеспечение реализации программ дошкольного образования"</t>
  </si>
  <si>
    <t>02 4 01 00160</t>
  </si>
  <si>
    <t>02 4 01 11770</t>
  </si>
  <si>
    <t>02 4 01 11800</t>
  </si>
  <si>
    <t>02 4 01 11810</t>
  </si>
  <si>
    <t>02 4 01 71350</t>
  </si>
  <si>
    <t>02 4 02 00000</t>
  </si>
  <si>
    <t>02 4 02 00160</t>
  </si>
  <si>
    <t>Комплекс процессных мероприятий "Обеспечение реализации программ общего образования"</t>
  </si>
  <si>
    <t>02 4 04 12250</t>
  </si>
  <si>
    <t>02 4 04 00000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</si>
  <si>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</si>
  <si>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02 4 06 00000</t>
  </si>
  <si>
    <t>02 4 06 12160</t>
  </si>
  <si>
    <t>Комплекс процессных мероприятий "Организация  мероприятий по комплексной безопасности  образовательных организаций"</t>
  </si>
  <si>
    <t>02 4 06 12170</t>
  </si>
  <si>
    <t>02 4 06 12340</t>
  </si>
  <si>
    <t>02 4 07 00000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</si>
  <si>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</si>
  <si>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02 4 07 12310</t>
  </si>
  <si>
    <t>02 4 07 S4840</t>
  </si>
  <si>
    <t>10 4 01 00000</t>
  </si>
  <si>
    <t>10 4 01 11220</t>
  </si>
  <si>
    <t xml:space="preserve">Оснащение приборами учета энергоресурсов муниципальных дошкольных учреждений </t>
  </si>
  <si>
    <t>10 4 03 00000</t>
  </si>
  <si>
    <t>10 4 03 12530</t>
  </si>
  <si>
    <t>10 4 04 00000</t>
  </si>
  <si>
    <t>10 4 04 12610</t>
  </si>
  <si>
    <t>10 4 06 12570</t>
  </si>
  <si>
    <t>Замена светильников в муниципальных образовательных учреждениях</t>
  </si>
  <si>
    <t>10 4 05 00000</t>
  </si>
  <si>
    <t>10 4 05 12600</t>
  </si>
  <si>
    <t>10 4 05 12620</t>
  </si>
  <si>
    <t>02 4 02 11830</t>
  </si>
  <si>
    <t>02 4 02 11840</t>
  </si>
  <si>
    <t>02 4 02 11870</t>
  </si>
  <si>
    <t>02 4 02 11950</t>
  </si>
  <si>
    <t>02 4 02 53030</t>
  </si>
  <si>
    <t>02 4 02 71530</t>
  </si>
  <si>
    <t>02 4 03 00160</t>
  </si>
  <si>
    <t>02 4 03 12550</t>
  </si>
  <si>
    <t>02 4 05 00000</t>
  </si>
  <si>
    <t>02 4 05 12154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</si>
  <si>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</si>
  <si>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02 4 07 12320</t>
  </si>
  <si>
    <t>10 4 01 11240</t>
  </si>
  <si>
    <t>02 4 06 12140</t>
  </si>
  <si>
    <t>Укрепление материально-технической базы учреждений дополнительного образования</t>
  </si>
  <si>
    <t>02 4 07 12330</t>
  </si>
  <si>
    <t>10 4 01 11250</t>
  </si>
  <si>
    <t>Оснащение приборами учета энергоресурсов муниципальных учреждений дополнительного образования</t>
  </si>
  <si>
    <t>02 4 09 00000</t>
  </si>
  <si>
    <t>02 4 08 00000</t>
  </si>
  <si>
    <t>02 4 08 S4410</t>
  </si>
  <si>
    <t>Организация отдыха детей, находящихся в трудной жизненной ситуации, в каникулярное время</t>
  </si>
  <si>
    <t>02 4 01 71360</t>
  </si>
  <si>
    <t>02 4 02 11880</t>
  </si>
  <si>
    <t>02 4 03 11860</t>
  </si>
  <si>
    <t>02 4 03 11890</t>
  </si>
  <si>
    <t>02 4 04 12220</t>
  </si>
  <si>
    <t>02 4 04 12260</t>
  </si>
  <si>
    <t>02 4 05 12270</t>
  </si>
  <si>
    <t>02 4 05 12300</t>
  </si>
  <si>
    <t>02 4 06 12200</t>
  </si>
  <si>
    <t>02 4 06 12440</t>
  </si>
  <si>
    <t>02 4 07 12350</t>
  </si>
  <si>
    <t>02 4 08 12290</t>
  </si>
  <si>
    <t>02 4 09 11900</t>
  </si>
  <si>
    <t>02 4 09 11910</t>
  </si>
  <si>
    <t>02 4 09 11920</t>
  </si>
  <si>
    <t>02 4 09 11930</t>
  </si>
  <si>
    <t>02 4 09 11940</t>
  </si>
  <si>
    <t>02 4 09 11980</t>
  </si>
  <si>
    <t>02 4 10 00000</t>
  </si>
  <si>
    <t>02 4 10 71440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</si>
  <si>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</si>
  <si>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</si>
  <si>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10 R3040</t>
  </si>
  <si>
    <t xml:space="preserve">ВЕДОМСТВЕННАЯ СТРУКТУРА </t>
  </si>
  <si>
    <t>УТВЕРЖДЕНА</t>
  </si>
  <si>
    <t>решением совета депутатов</t>
  </si>
  <si>
    <t xml:space="preserve">Кировского муниципального района </t>
  </si>
  <si>
    <t>Ленинградской области</t>
  </si>
  <si>
    <t xml:space="preserve">Предоставление субсидий бюджетным, автономным учреждениям и иным некоммерческим организациям </t>
  </si>
  <si>
    <t xml:space="preserve">Закупка товаров, работ и услуг для обеспечения государственных (муниципальных) нужд </t>
  </si>
  <si>
    <t>Поддержка и развитие самодеятельного народного творчества  и исполнительского искусства</t>
  </si>
  <si>
    <t>Организация и проведение мероприятий в сфере культуры по военно-патриотическому  воспитанию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</si>
  <si>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</si>
  <si>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</si>
  <si>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Организация охраны в муниципальных образовательных организациях  путем экстренного вызова группы задержания и оказание услуг по организации и обеспечению физической охраны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</si>
  <si>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</si>
  <si>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</si>
  <si>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</si>
  <si>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</si>
  <si>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02 4 10 73040</t>
  </si>
  <si>
    <t>98 9 09 10290</t>
  </si>
  <si>
    <t>Мероприятия по подготовке проектов изменений в генеральные планы сельских поселений</t>
  </si>
  <si>
    <t>04 4 03 S4820</t>
  </si>
  <si>
    <t>05 4 01 11110</t>
  </si>
  <si>
    <t>Укрепеление материально-технической базы библиотек</t>
  </si>
  <si>
    <t>05 4 05 11130</t>
  </si>
  <si>
    <t>Укрепление материально-технической базы учреждений дополнительного образования в сфере культуры и искусства</t>
  </si>
  <si>
    <t>Укрепление материально-технической базы организаций общего образования (техническое оснащение инженерного класса  в общеобразовательных организациях)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</si>
  <si>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</si>
  <si>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03 4 05 00000</t>
  </si>
  <si>
    <t>Ликвидация мест несанкционированного размещения отходов</t>
  </si>
  <si>
    <t>03 4 05 10550</t>
  </si>
  <si>
    <t>03 4 05 10800</t>
  </si>
  <si>
    <t>Реализация мероприятий по борьбе с борщевиком Сосновского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</si>
  <si>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</si>
  <si>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</si>
  <si>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(Приложение 4)</t>
  </si>
  <si>
    <t xml:space="preserve"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</si>
  <si>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</t>
  </si>
  <si>
    <t xml:space="preserve">Уплата государственной пошлины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</si>
  <si>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</si>
  <si>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Иные бюджетные ассигнования </t>
  </si>
  <si>
    <t>Муниципальная программа "Развитие культуры Кировского муниципального района Ленинградской области"</t>
  </si>
  <si>
    <t>Финансовое обеспечение затрат на опубликование муниципальных правовых актов органов местного самоуправления, обсуждение проектов  муниципальных правовых актов по вопросам местного значения, доведения до сведения жителей  официальной информации о социально-экономическом 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</si>
  <si>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 жизни Кировского муниципального района Ленинградской области  в периодическом печатном издании</t>
  </si>
  <si>
    <t>02 2 00 00000</t>
  </si>
  <si>
    <t>Благоустройство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</si>
  <si>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</si>
  <si>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</si>
  <si>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</si>
  <si>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02 4 07 12360</t>
  </si>
  <si>
    <t>Комплекс процессных мероприятий "Развитие физической культуры и спорта среди различных групп населения"</t>
  </si>
  <si>
    <t xml:space="preserve">Премирование по муниципальному правовому акту администрации в связи с юбилеем и вне системы оплаты труда </t>
  </si>
  <si>
    <t>Контрольно счетная палата Кировского муниципального района Ленинградской области</t>
  </si>
  <si>
    <t>813</t>
  </si>
  <si>
    <t>67 6 00 00000</t>
  </si>
  <si>
    <t>67 6 09 00000</t>
  </si>
  <si>
    <t>67 6 09 00150</t>
  </si>
  <si>
    <t>02 4 02 11820</t>
  </si>
  <si>
    <t>Организация деятельности кадетских классов в образовательных органиазциях</t>
  </si>
  <si>
    <t>Исполнение судебных актов Российской Федерации и мировых соглашений по возмещению вреда (МКУ УКС 150,0 тр, Адм КМР - 600,0 тр)</t>
  </si>
  <si>
    <t>04 4 10 S4840</t>
  </si>
  <si>
    <t>98 9 09 95090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</si>
  <si>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</si>
  <si>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98 9 09 95040</t>
  </si>
  <si>
    <t>Региональные проекты</t>
  </si>
  <si>
    <t>Региональный проект "Современная школа"</t>
  </si>
  <si>
    <t>02 2 E1 51720</t>
  </si>
  <si>
    <t>02 2 E1 00000</t>
  </si>
  <si>
    <t>02 2 E4 00000</t>
  </si>
  <si>
    <t>Региональный проект "Цифровая образовательная среда"</t>
  </si>
  <si>
    <t>02 2 E4 52130</t>
  </si>
  <si>
    <t>02 2 EВ 00000</t>
  </si>
  <si>
    <t>02 2 EВ 51790</t>
  </si>
  <si>
    <t>Региональный проект "Патриотическое воспитание граждан Российской Федерации"</t>
  </si>
  <si>
    <t>02 7 00 00000</t>
  </si>
  <si>
    <t>Отраслевые проекты</t>
  </si>
  <si>
    <t>02 7 01 00000</t>
  </si>
  <si>
    <t>Отраслевой проект "Сохранение и развитие материально-технической базы дошкольного образования"</t>
  </si>
  <si>
    <t>02 7 01 S0491</t>
  </si>
  <si>
    <t>02 7 02 00000</t>
  </si>
  <si>
    <t>02 7 02 S0510</t>
  </si>
  <si>
    <t>Отраслевой проект "Сохранение и развитие материально-технической базы общего и дополнительного образования"</t>
  </si>
  <si>
    <t>02 7 02 S0571</t>
  </si>
  <si>
    <t>02 7 02 S4890</t>
  </si>
  <si>
    <t>04 4 05 S4600</t>
  </si>
  <si>
    <t>02 7 02 S0511</t>
  </si>
  <si>
    <t>11 4 04 00000</t>
  </si>
  <si>
    <t>11 4 04 S4260</t>
  </si>
  <si>
    <t>Комплекс процессных мероприятий "Поддержка конкурентоспособности субъектов МСП"</t>
  </si>
  <si>
    <t>Поддержка социально ориентированных некоммерческих организаций Ленинградской области</t>
  </si>
  <si>
    <t>03 7 00 00000</t>
  </si>
  <si>
    <t>03 7 01 00000</t>
  </si>
  <si>
    <t>03 7 01 L5991</t>
  </si>
  <si>
    <t>Отраслевой проект "Вовлечение в оборот земель сельскохозяйственного назначения"</t>
  </si>
  <si>
    <t>Подготовка проектов межевания земельных участков и проведение кадастровых работ (проведение кадастровых работ)</t>
  </si>
  <si>
    <t>03 7 02 00000</t>
  </si>
  <si>
    <t>03 7 02 S4620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</si>
  <si>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</si>
  <si>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Проведение комплексных кадастровых работ</t>
  </si>
  <si>
    <t>02 7 02 S4450</t>
  </si>
  <si>
    <t>06 7 02 S4452</t>
  </si>
  <si>
    <t>06 7 00 00000</t>
  </si>
  <si>
    <t>06 7 02 00000</t>
  </si>
  <si>
    <t>02 7 03 00000</t>
  </si>
  <si>
    <t>Отраслевой проект "Улучшение жилищных условий и обеспечение жильем отдельных категорий граждан"</t>
  </si>
  <si>
    <t>02 7 03 70820</t>
  </si>
  <si>
    <t>02 7 03 R0820</t>
  </si>
  <si>
    <t>10 4 06 12590</t>
  </si>
  <si>
    <t>10 4 05 12580</t>
  </si>
  <si>
    <t>10 4 02 00000</t>
  </si>
  <si>
    <t>10 4 02 11210</t>
  </si>
  <si>
    <t>Теплоизоляция системы центрального отопления</t>
  </si>
  <si>
    <t>02 7 01 S4590</t>
  </si>
  <si>
    <t>Реновация организаций дошкольного образования</t>
  </si>
  <si>
    <t>02 7 02 S4300</t>
  </si>
  <si>
    <t>Реновация организаций общего образования</t>
  </si>
  <si>
    <t>02 7 02 S5060</t>
  </si>
  <si>
    <t>Обновление материально-технической базы столовых и пищеблоков общеобразовательных организаций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</si>
  <si>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</si>
  <si>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12 S0840</t>
  </si>
  <si>
    <t>06 7 01 00000</t>
  </si>
  <si>
    <t>06 7 01 S4062</t>
  </si>
  <si>
    <t>Отраслевой проект "Развитие объектов физической культуры и спорта"</t>
  </si>
  <si>
    <t>67 9 09 71760</t>
  </si>
  <si>
    <t>Отраслевой проект "Развитие агропромышленного комплекса"</t>
  </si>
  <si>
    <t>03 7 03 00000</t>
  </si>
  <si>
    <t>03 7 03 71030</t>
  </si>
  <si>
    <t>Комплекс процессных мероприятий "Поддержка социально ориентированных некоммерческих организаций, осуществляющих социальную поддержку и защиту ветеранов"</t>
  </si>
  <si>
    <t>11 4 01 S4490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</si>
  <si>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лет, индивидуальным предпринимателям  и  физическим лицам, применяющим специальный налоговый режим "Налог на профессиональный доход"</t>
  </si>
  <si>
    <t>08 4 01 13150</t>
  </si>
  <si>
    <t xml:space="preserve">Оснащение приборами учета энергоресурсов муниципальных  общеобразовательных учреждений </t>
  </si>
  <si>
    <t>Комплекс процессных мероприятий "Снижение муниципальными учреждениями объема потребления электрической энергии"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</si>
  <si>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</si>
  <si>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Комплекс процессных мероприятий "Снижение муниципальными учреждениями дополнительного образования (ДМХШ, ДШИ), МКУК "ЦМБ" объема потребления энергетических ресурсов"</t>
  </si>
  <si>
    <t>Оснащение  приборами учета энергоресурсов муниципальных учреждений дополнительного образования (ДМХШ, ДШИ), МКУК "ЦМБ"</t>
  </si>
  <si>
    <t>Комплекс процессных мероприятий "Обеспечение бесперебойного электроснабжнения зданий муниципальных учреждений"</t>
  </si>
  <si>
    <t>Проведение испытаний и измерений электросетей и электрооборудования в  муниципальных учреждениях дополнительного образования (ДМХШ, ДШИ), МКУК "ЦМБ"</t>
  </si>
  <si>
    <t>Замена системы электроснабжения в помещениях тепловых пунктов муниципальных учреждений</t>
  </si>
  <si>
    <t>Замена светильников в  муниципальных учреждениях дополнительного образования (ДМХШ, ДШИ), МКУК "ЦМБ"</t>
  </si>
  <si>
    <t>Комплекс процессных мероприятий "Снижение муниципальными учреждениями образования объема потребления энергетических ресурсов"</t>
  </si>
  <si>
    <t>Комплекс процессных мероприятий "Получение допуска к эксплуатации узлов учета тепловой энергии муниципальных учреждений"</t>
  </si>
  <si>
    <t>Приведение узлов учета тепловой энергии муниципальных  учреждений в соответствии с нормативными требованиями</t>
  </si>
  <si>
    <t>Комплекс процессных мероприятий "Сохранение теплового контура зданий муниципальных учреждений"</t>
  </si>
  <si>
    <t>Обеспечение деятельности Председателя контрольно-счетной палаты и его заместителей</t>
  </si>
  <si>
    <t xml:space="preserve">Поддержка мер по обеспечению сбалансированности бюджетов поселенийв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 </t>
  </si>
  <si>
    <t>Региональный проект "Успех каждого ребенка"</t>
  </si>
  <si>
    <t>02 2 E2 00000</t>
  </si>
  <si>
    <t>02 2 E2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</si>
  <si>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</si>
  <si>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Комплекс процессных мероприятий "Обеспечение отдыха, оздоровления, занятости детей, подростков и молодежи"</t>
  </si>
  <si>
    <t xml:space="preserve">
 2024 год Сумма (тысяч рублей)
</t>
  </si>
  <si>
    <t xml:space="preserve">
2025 год Сумма (тысяч рублей)
</t>
  </si>
  <si>
    <t xml:space="preserve">
2026 год Сумма (тысяч рублей)
</t>
  </si>
  <si>
    <t>Материально-техническое обеспечение многофункциональных молодежных центров</t>
  </si>
  <si>
    <t>67 8 00 00000</t>
  </si>
  <si>
    <t>67 8 09 00000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</si>
  <si>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</si>
  <si>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части передаваемых полномочий в сфере архитектуры и градостроительства</t>
  </si>
  <si>
    <t>67 8 09 96050</t>
  </si>
  <si>
    <t>Осуществление части передаваемых полномочий по обеспечению условий для развития физической культуры и спорта</t>
  </si>
  <si>
    <t>67 8 09 96070</t>
  </si>
  <si>
    <t>Осуществление полномочий по муниципальному жилищному контролю</t>
  </si>
  <si>
    <t>67 8 09 96110</t>
  </si>
  <si>
    <t>Капитальный ремонт (ремонт) автомобильных дорог местного значения и искусственных сооружений на них</t>
  </si>
  <si>
    <t>98 9 09 14090</t>
  </si>
  <si>
    <t>Проведение информационно-аналитического наблюдения за осуществлением торговой деятельности</t>
  </si>
  <si>
    <t>11 4 01 74490</t>
  </si>
  <si>
    <t>Мероприятия по капитальному ремонту (ремонту) общеобразовательных организаций</t>
  </si>
  <si>
    <t>98 9 09 17960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</si>
  <si>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</si>
  <si>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98 9 09 51350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</si>
  <si>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</si>
  <si>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98 9 09 51760</t>
  </si>
  <si>
    <t>04 7 00 00000</t>
  </si>
  <si>
    <t>04 7 01 00000</t>
  </si>
  <si>
    <t>04 7 01 80060</t>
  </si>
  <si>
    <t>Установка модульного строения лыжной базы по адресу: Ленинградская область, Кировский район, г. Кировск</t>
  </si>
  <si>
    <t>Осуществление части передаваемых полномочий по владению, пользованию и распоряжению имуществом</t>
  </si>
  <si>
    <t>67 8 09 96030</t>
  </si>
  <si>
    <t>Осуществление земельного контроля за использованием земель на территориях поселений</t>
  </si>
  <si>
    <t>67 8 09 96040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</si>
  <si>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</t>
  </si>
  <si>
    <t>Осуществление части передаваемых полномочий по формированию, утверждению, исполнению бюджета</t>
  </si>
  <si>
    <t>67 8 09 96010</t>
  </si>
  <si>
    <t>02 2 Е2 00000</t>
  </si>
  <si>
    <t>02 2 Е2 51710</t>
  </si>
  <si>
    <t>08 4 01 96100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</si>
  <si>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</si>
  <si>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04 7 01 17950</t>
  </si>
  <si>
    <t>Капитальный ремонт объектов физической культуры и спорта</t>
  </si>
  <si>
    <t>04 4 05 11330</t>
  </si>
  <si>
    <t>Укрепление материально-технической базы организаций физической культуры и спорта</t>
  </si>
  <si>
    <t>10 4 05 11180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</si>
  <si>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</si>
  <si>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 xml:space="preserve"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 </t>
  </si>
  <si>
    <t>05 4 10 96020</t>
  </si>
  <si>
    <t>Организация мероприятий по комплексной безопасности муниципальных образовательных организаций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</si>
  <si>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</si>
  <si>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Оказание дополнительной финансовой помощи бюджетам поселений Кировского муниципального района Ленинградской области</t>
  </si>
  <si>
    <t>Коммунальное хозяйство</t>
  </si>
  <si>
    <t>07 4 02 95050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</si>
  <si>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№597</t>
  </si>
  <si>
    <t>Обеспечение выполнения органами местного самоуправления части передаваемых полномочий бюджетам муниципальных районов из бюджетов поселений</t>
  </si>
  <si>
    <t xml:space="preserve">Осуществление передаваемых полномочий контрольно-счетных органов поселений по осуществлению внешнего муниципального финансового контроля </t>
  </si>
  <si>
    <t>67 8 09 96090</t>
  </si>
  <si>
    <t>Создание, содержание и организация деятельности аварийно-спасательных служб на территориях сельских поселений</t>
  </si>
  <si>
    <t>08 4 01 13360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</si>
  <si>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</si>
  <si>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06 7 02 80120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</si>
  <si>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</si>
  <si>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06 7 02 80590</t>
  </si>
  <si>
    <t>Комплекс процессных мероприятий "Капитальный ремонт (ремонт) объектов муниципальной собственности"</t>
  </si>
  <si>
    <t>Мероприятия по капитальному ремонту (ремонту) организаций физической культуры и массового спорта</t>
  </si>
  <si>
    <t>06 4 01 17930</t>
  </si>
  <si>
    <t>(в редакции решения совета депутатов</t>
  </si>
  <si>
    <t>от «29» ноября 2023 г. № 100</t>
  </si>
  <si>
    <t>на 2024 год и на плановый период 2025 и 2026 годов</t>
  </si>
  <si>
    <t>Строительство, реконструкция, приобретение и пристрой объектов для организации общего образования (Строительство здания для нужд МБОУ "Лицей г. Отрадное" по адресу: Кировский район, г. Отрадное, ул. Дружбы, д. 1 проектная мощность 265 учащихся)</t>
  </si>
  <si>
    <t>06 7 02 S4453</t>
  </si>
  <si>
    <t>Капитальный ремонт объектов физической культуры и спорта (остатки средств на начало текущего финансового года)</t>
  </si>
  <si>
    <t>06 7 01 S406Ю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</si>
  <si>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</si>
  <si>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Культура, кинематография</t>
  </si>
  <si>
    <t>Другие вопросы в области культуры, кинематографии</t>
  </si>
  <si>
    <t>Техническое сопровождение в целях информатизации обучения учащихся</t>
  </si>
  <si>
    <t>Приобретение компьютерного оборудования для образовательных организаций в целях информатизации обучения</t>
  </si>
  <si>
    <t>Организация районных мероприятий и реализация районных проектов</t>
  </si>
  <si>
    <t>06 7 02 80260</t>
  </si>
  <si>
    <t>от «10» июля 2024 года № 54)</t>
  </si>
  <si>
    <t>05 4 03 11170</t>
  </si>
  <si>
    <t>Поддержка института семьи и брака</t>
  </si>
  <si>
    <t>Строительство здания для нужд МБОУ "Лицей г. Отрадное" по адресу: Кировский район, г. Отрадное, ул. Дружбы, д.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</si>
</sst>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?"/>
    <numFmt numFmtId="186" formatCode="#,##0.000"/>
    <numFmt numFmtId="187" formatCode="#,##0.00&quot;р.&quot;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d/mm/yyyy\ hh:mm"/>
    <numFmt numFmtId="191" formatCode="0.000000"/>
    <numFmt numFmtId="192" formatCode="0.00000"/>
    <numFmt numFmtId="193" formatCode="0.0000"/>
    <numFmt numFmtId="194" formatCode="0.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i/>
      <sz val="14"/>
      <name val="Arial Cyr"/>
      <family val="0"/>
    </font>
    <font>
      <i/>
      <sz val="10"/>
      <name val="Times New Roman Cyr"/>
      <family val="0"/>
    </font>
    <font>
      <b/>
      <sz val="20"/>
      <name val="Times New Roman Cyr"/>
      <family val="1"/>
    </font>
    <font>
      <sz val="14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i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4" fontId="9" fillId="33" borderId="16" xfId="0" applyNumberFormat="1" applyFont="1" applyFill="1" applyBorder="1" applyAlignment="1">
      <alignment horizontal="right" wrapText="1"/>
    </xf>
    <xf numFmtId="49" fontId="6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/>
    </xf>
    <xf numFmtId="49" fontId="5" fillId="33" borderId="19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right" wrapText="1"/>
    </xf>
    <xf numFmtId="174" fontId="5" fillId="33" borderId="10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 wrapText="1"/>
    </xf>
    <xf numFmtId="174" fontId="9" fillId="33" borderId="14" xfId="0" applyNumberFormat="1" applyFont="1" applyFill="1" applyBorder="1" applyAlignment="1">
      <alignment horizontal="right" wrapText="1"/>
    </xf>
    <xf numFmtId="174" fontId="5" fillId="33" borderId="11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 wrapText="1"/>
    </xf>
    <xf numFmtId="174" fontId="5" fillId="33" borderId="19" xfId="0" applyNumberFormat="1" applyFont="1" applyFill="1" applyBorder="1" applyAlignment="1">
      <alignment horizontal="right" wrapText="1"/>
    </xf>
    <xf numFmtId="174" fontId="9" fillId="33" borderId="11" xfId="0" applyNumberFormat="1" applyFont="1" applyFill="1" applyBorder="1" applyAlignment="1">
      <alignment horizontal="right" wrapText="1"/>
    </xf>
    <xf numFmtId="174" fontId="9" fillId="33" borderId="17" xfId="0" applyNumberFormat="1" applyFont="1" applyFill="1" applyBorder="1" applyAlignment="1">
      <alignment horizontal="right" wrapText="1"/>
    </xf>
    <xf numFmtId="174" fontId="9" fillId="33" borderId="14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6" fillId="33" borderId="11" xfId="0" applyNumberFormat="1" applyFont="1" applyFill="1" applyBorder="1" applyAlignment="1">
      <alignment horizontal="right"/>
    </xf>
    <xf numFmtId="174" fontId="9" fillId="33" borderId="14" xfId="0" applyNumberFormat="1" applyFont="1" applyFill="1" applyBorder="1" applyAlignment="1">
      <alignment horizontal="right"/>
    </xf>
    <xf numFmtId="174" fontId="9" fillId="33" borderId="14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5" fillId="33" borderId="13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 wrapText="1"/>
    </xf>
    <xf numFmtId="174" fontId="9" fillId="33" borderId="15" xfId="0" applyNumberFormat="1" applyFont="1" applyFill="1" applyBorder="1" applyAlignment="1">
      <alignment horizontal="right" wrapText="1"/>
    </xf>
    <xf numFmtId="174" fontId="6" fillId="33" borderId="19" xfId="0" applyNumberFormat="1" applyFont="1" applyFill="1" applyBorder="1" applyAlignment="1">
      <alignment horizontal="right" wrapText="1"/>
    </xf>
    <xf numFmtId="174" fontId="6" fillId="33" borderId="12" xfId="0" applyNumberFormat="1" applyFont="1" applyFill="1" applyBorder="1" applyAlignment="1">
      <alignment horizontal="right" wrapText="1"/>
    </xf>
    <xf numFmtId="174" fontId="9" fillId="33" borderId="17" xfId="0" applyNumberFormat="1" applyFont="1" applyFill="1" applyBorder="1" applyAlignment="1">
      <alignment horizontal="right"/>
    </xf>
    <xf numFmtId="174" fontId="6" fillId="33" borderId="12" xfId="0" applyNumberFormat="1" applyFont="1" applyFill="1" applyBorder="1" applyAlignment="1">
      <alignment horizontal="right"/>
    </xf>
    <xf numFmtId="174" fontId="6" fillId="33" borderId="10" xfId="0" applyNumberFormat="1" applyFont="1" applyFill="1" applyBorder="1" applyAlignment="1">
      <alignment horizontal="right"/>
    </xf>
    <xf numFmtId="174" fontId="9" fillId="33" borderId="11" xfId="0" applyNumberFormat="1" applyFont="1" applyFill="1" applyBorder="1" applyAlignment="1">
      <alignment horizontal="right"/>
    </xf>
    <xf numFmtId="174" fontId="6" fillId="33" borderId="13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6" fillId="33" borderId="10" xfId="0" applyNumberFormat="1" applyFont="1" applyFill="1" applyBorder="1" applyAlignment="1">
      <alignment horizontal="right"/>
    </xf>
    <xf numFmtId="174" fontId="9" fillId="33" borderId="20" xfId="0" applyNumberFormat="1" applyFont="1" applyFill="1" applyBorder="1" applyAlignment="1">
      <alignment horizontal="right"/>
    </xf>
    <xf numFmtId="174" fontId="9" fillId="33" borderId="2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wrapText="1"/>
    </xf>
    <xf numFmtId="174" fontId="9" fillId="33" borderId="21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wrapText="1"/>
    </xf>
    <xf numFmtId="174" fontId="9" fillId="33" borderId="27" xfId="0" applyNumberFormat="1" applyFont="1" applyFill="1" applyBorder="1" applyAlignment="1">
      <alignment horizontal="right" wrapText="1"/>
    </xf>
    <xf numFmtId="174" fontId="5" fillId="33" borderId="27" xfId="0" applyNumberFormat="1" applyFont="1" applyFill="1" applyBorder="1" applyAlignment="1">
      <alignment horizontal="right" wrapText="1"/>
    </xf>
    <xf numFmtId="174" fontId="5" fillId="33" borderId="22" xfId="0" applyNumberFormat="1" applyFont="1" applyFill="1" applyBorder="1" applyAlignment="1">
      <alignment horizontal="right" wrapText="1"/>
    </xf>
    <xf numFmtId="49" fontId="9" fillId="33" borderId="28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left" wrapText="1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wrapText="1"/>
    </xf>
    <xf numFmtId="49" fontId="4" fillId="33" borderId="18" xfId="54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vertical="center" wrapText="1"/>
    </xf>
    <xf numFmtId="49" fontId="6" fillId="33" borderId="30" xfId="0" applyNumberFormat="1" applyFont="1" applyFill="1" applyBorder="1" applyAlignment="1">
      <alignment horizontal="left" wrapText="1"/>
    </xf>
    <xf numFmtId="49" fontId="6" fillId="33" borderId="31" xfId="0" applyNumberFormat="1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5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left" wrapText="1"/>
    </xf>
    <xf numFmtId="0" fontId="6" fillId="33" borderId="23" xfId="0" applyNumberFormat="1" applyFont="1" applyFill="1" applyBorder="1" applyAlignment="1">
      <alignment horizontal="left" wrapText="1"/>
    </xf>
    <xf numFmtId="174" fontId="9" fillId="33" borderId="13" xfId="0" applyNumberFormat="1" applyFont="1" applyFill="1" applyBorder="1" applyAlignment="1">
      <alignment horizontal="right" wrapText="1"/>
    </xf>
    <xf numFmtId="174" fontId="5" fillId="33" borderId="13" xfId="0" applyNumberFormat="1" applyFont="1" applyFill="1" applyBorder="1" applyAlignment="1">
      <alignment horizontal="right"/>
    </xf>
    <xf numFmtId="49" fontId="6" fillId="33" borderId="15" xfId="0" applyNumberFormat="1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174" fontId="5" fillId="33" borderId="20" xfId="0" applyNumberFormat="1" applyFont="1" applyFill="1" applyBorder="1" applyAlignment="1">
      <alignment horizontal="right" wrapText="1"/>
    </xf>
    <xf numFmtId="49" fontId="6" fillId="33" borderId="33" xfId="0" applyNumberFormat="1" applyFont="1" applyFill="1" applyBorder="1" applyAlignment="1">
      <alignment horizontal="left" wrapText="1"/>
    </xf>
    <xf numFmtId="0" fontId="6" fillId="33" borderId="33" xfId="0" applyNumberFormat="1" applyFont="1" applyFill="1" applyBorder="1" applyAlignment="1">
      <alignment horizontal="left" wrapText="1"/>
    </xf>
    <xf numFmtId="0" fontId="10" fillId="6" borderId="3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 wrapText="1"/>
    </xf>
    <xf numFmtId="49" fontId="7" fillId="6" borderId="35" xfId="54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>
      <alignment horizontal="left" vertical="top" wrapText="1"/>
    </xf>
    <xf numFmtId="0" fontId="6" fillId="33" borderId="26" xfId="0" applyNumberFormat="1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left" vertical="center" wrapText="1"/>
    </xf>
    <xf numFmtId="49" fontId="6" fillId="33" borderId="33" xfId="0" applyNumberFormat="1" applyFont="1" applyFill="1" applyBorder="1" applyAlignment="1">
      <alignment horizontal="left" vertical="justify" wrapText="1"/>
    </xf>
    <xf numFmtId="49" fontId="6" fillId="33" borderId="36" xfId="0" applyNumberFormat="1" applyFont="1" applyFill="1" applyBorder="1" applyAlignment="1">
      <alignment horizontal="left" vertical="justify" wrapText="1"/>
    </xf>
    <xf numFmtId="49" fontId="6" fillId="33" borderId="23" xfId="0" applyNumberFormat="1" applyFont="1" applyFill="1" applyBorder="1" applyAlignment="1">
      <alignment horizontal="left" vertical="justify" wrapText="1"/>
    </xf>
    <xf numFmtId="49" fontId="9" fillId="33" borderId="24" xfId="0" applyNumberFormat="1" applyFont="1" applyFill="1" applyBorder="1" applyAlignment="1">
      <alignment horizontal="left" vertical="justify" wrapText="1"/>
    </xf>
    <xf numFmtId="0" fontId="6" fillId="33" borderId="32" xfId="0" applyNumberFormat="1" applyFont="1" applyFill="1" applyBorder="1" applyAlignment="1">
      <alignment horizontal="left" wrapText="1"/>
    </xf>
    <xf numFmtId="0" fontId="6" fillId="33" borderId="26" xfId="0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left" wrapText="1"/>
    </xf>
    <xf numFmtId="49" fontId="9" fillId="33" borderId="32" xfId="0" applyNumberFormat="1" applyFont="1" applyFill="1" applyBorder="1" applyAlignment="1">
      <alignment horizontal="left" wrapText="1"/>
    </xf>
    <xf numFmtId="49" fontId="9" fillId="33" borderId="33" xfId="0" applyNumberFormat="1" applyFont="1" applyFill="1" applyBorder="1" applyAlignment="1">
      <alignment horizontal="left" wrapText="1"/>
    </xf>
    <xf numFmtId="0" fontId="9" fillId="33" borderId="28" xfId="0" applyNumberFormat="1" applyFont="1" applyFill="1" applyBorder="1" applyAlignment="1">
      <alignment horizontal="left" wrapText="1"/>
    </xf>
    <xf numFmtId="49" fontId="9" fillId="33" borderId="31" xfId="0" applyNumberFormat="1" applyFont="1" applyFill="1" applyBorder="1" applyAlignment="1">
      <alignment horizontal="left" wrapText="1"/>
    </xf>
    <xf numFmtId="49" fontId="9" fillId="33" borderId="36" xfId="0" applyNumberFormat="1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left" wrapText="1"/>
    </xf>
    <xf numFmtId="0" fontId="6" fillId="33" borderId="31" xfId="0" applyNumberFormat="1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center" wrapText="1"/>
    </xf>
    <xf numFmtId="174" fontId="5" fillId="33" borderId="21" xfId="0" applyNumberFormat="1" applyFont="1" applyFill="1" applyBorder="1" applyAlignment="1">
      <alignment horizontal="right" wrapText="1"/>
    </xf>
    <xf numFmtId="49" fontId="6" fillId="33" borderId="28" xfId="0" applyNumberFormat="1" applyFont="1" applyFill="1" applyBorder="1" applyAlignment="1">
      <alignment horizontal="left" wrapText="1"/>
    </xf>
    <xf numFmtId="49" fontId="4" fillId="7" borderId="38" xfId="54" applyNumberFormat="1" applyFont="1" applyFill="1" applyBorder="1" applyAlignment="1" applyProtection="1">
      <alignment horizontal="center" vertical="center" wrapText="1"/>
      <protection/>
    </xf>
    <xf numFmtId="49" fontId="6" fillId="7" borderId="39" xfId="0" applyNumberFormat="1" applyFont="1" applyFill="1" applyBorder="1" applyAlignment="1">
      <alignment horizontal="left" wrapText="1"/>
    </xf>
    <xf numFmtId="49" fontId="6" fillId="7" borderId="40" xfId="0" applyNumberFormat="1" applyFont="1" applyFill="1" applyBorder="1" applyAlignment="1">
      <alignment horizontal="center"/>
    </xf>
    <xf numFmtId="49" fontId="5" fillId="7" borderId="40" xfId="0" applyNumberFormat="1" applyFont="1" applyFill="1" applyBorder="1" applyAlignment="1">
      <alignment horizontal="center"/>
    </xf>
    <xf numFmtId="174" fontId="6" fillId="7" borderId="40" xfId="0" applyNumberFormat="1" applyFont="1" applyFill="1" applyBorder="1" applyAlignment="1">
      <alignment horizontal="right" wrapText="1"/>
    </xf>
    <xf numFmtId="174" fontId="6" fillId="7" borderId="41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/>
    </xf>
    <xf numFmtId="49" fontId="9" fillId="33" borderId="25" xfId="0" applyNumberFormat="1" applyFont="1" applyFill="1" applyBorder="1" applyAlignment="1">
      <alignment horizontal="left" wrapText="1"/>
    </xf>
    <xf numFmtId="174" fontId="9" fillId="33" borderId="10" xfId="0" applyNumberFormat="1" applyFont="1" applyFill="1" applyBorder="1" applyAlignment="1">
      <alignment horizontal="right" wrapText="1"/>
    </xf>
    <xf numFmtId="174" fontId="9" fillId="33" borderId="10" xfId="0" applyNumberFormat="1" applyFont="1" applyFill="1" applyBorder="1" applyAlignment="1">
      <alignment horizontal="right"/>
    </xf>
    <xf numFmtId="0" fontId="9" fillId="33" borderId="25" xfId="0" applyNumberFormat="1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5" xfId="0" applyNumberFormat="1" applyFont="1" applyFill="1" applyBorder="1" applyAlignment="1">
      <alignment horizontal="left" vertical="justify" wrapText="1"/>
    </xf>
    <xf numFmtId="174" fontId="9" fillId="33" borderId="29" xfId="0" applyNumberFormat="1" applyFont="1" applyFill="1" applyBorder="1" applyAlignment="1">
      <alignment horizontal="right" wrapText="1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29" xfId="0" applyNumberFormat="1" applyFont="1" applyFill="1" applyBorder="1" applyAlignment="1">
      <alignment horizontal="center" wrapText="1"/>
    </xf>
    <xf numFmtId="174" fontId="9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74" fontId="5" fillId="33" borderId="11" xfId="0" applyNumberFormat="1" applyFont="1" applyFill="1" applyBorder="1" applyAlignment="1">
      <alignment horizontal="right"/>
    </xf>
    <xf numFmtId="174" fontId="9" fillId="33" borderId="29" xfId="0" applyNumberFormat="1" applyFont="1" applyFill="1" applyBorder="1" applyAlignment="1">
      <alignment horizontal="right" wrapText="1"/>
    </xf>
    <xf numFmtId="174" fontId="9" fillId="33" borderId="42" xfId="0" applyNumberFormat="1" applyFont="1" applyFill="1" applyBorder="1" applyAlignment="1">
      <alignment horizontal="right"/>
    </xf>
    <xf numFmtId="49" fontId="9" fillId="33" borderId="24" xfId="0" applyNumberFormat="1" applyFont="1" applyFill="1" applyBorder="1" applyAlignment="1">
      <alignment horizontal="left" vertical="justify" wrapText="1"/>
    </xf>
    <xf numFmtId="49" fontId="5" fillId="33" borderId="11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 wrapText="1"/>
    </xf>
    <xf numFmtId="174" fontId="5" fillId="33" borderId="44" xfId="0" applyNumberFormat="1" applyFont="1" applyFill="1" applyBorder="1" applyAlignment="1">
      <alignment horizontal="right" wrapText="1"/>
    </xf>
    <xf numFmtId="0" fontId="9" fillId="33" borderId="23" xfId="0" applyNumberFormat="1" applyFont="1" applyFill="1" applyBorder="1" applyAlignment="1">
      <alignment horizontal="left" vertical="center" wrapText="1"/>
    </xf>
    <xf numFmtId="174" fontId="5" fillId="33" borderId="45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 wrapText="1"/>
    </xf>
    <xf numFmtId="174" fontId="5" fillId="33" borderId="11" xfId="0" applyNumberFormat="1" applyFont="1" applyFill="1" applyBorder="1" applyAlignment="1">
      <alignment horizontal="right" wrapText="1"/>
    </xf>
    <xf numFmtId="49" fontId="9" fillId="33" borderId="36" xfId="0" applyNumberFormat="1" applyFont="1" applyFill="1" applyBorder="1" applyAlignment="1">
      <alignment horizontal="left" wrapText="1"/>
    </xf>
    <xf numFmtId="185" fontId="11" fillId="33" borderId="23" xfId="0" applyNumberFormat="1" applyFont="1" applyFill="1" applyBorder="1" applyAlignment="1">
      <alignment horizontal="left" vertical="top" wrapText="1"/>
    </xf>
    <xf numFmtId="185" fontId="11" fillId="33" borderId="25" xfId="0" applyNumberFormat="1" applyFont="1" applyFill="1" applyBorder="1" applyAlignment="1">
      <alignment horizontal="left" vertical="top" wrapText="1"/>
    </xf>
    <xf numFmtId="185" fontId="15" fillId="33" borderId="23" xfId="0" applyNumberFormat="1" applyFont="1" applyFill="1" applyBorder="1" applyAlignment="1">
      <alignment horizontal="left" vertical="top" wrapText="1"/>
    </xf>
    <xf numFmtId="49" fontId="6" fillId="33" borderId="26" xfId="0" applyNumberFormat="1" applyFont="1" applyFill="1" applyBorder="1" applyAlignment="1">
      <alignment horizontal="left" vertical="center" wrapText="1"/>
    </xf>
    <xf numFmtId="49" fontId="6" fillId="33" borderId="33" xfId="0" applyNumberFormat="1" applyFont="1" applyFill="1" applyBorder="1" applyAlignment="1">
      <alignment horizontal="left" vertical="center" wrapText="1"/>
    </xf>
    <xf numFmtId="174" fontId="9" fillId="33" borderId="16" xfId="0" applyNumberFormat="1" applyFont="1" applyFill="1" applyBorder="1" applyAlignment="1">
      <alignment horizontal="right"/>
    </xf>
    <xf numFmtId="0" fontId="11" fillId="33" borderId="26" xfId="0" applyNumberFormat="1" applyFont="1" applyFill="1" applyBorder="1" applyAlignment="1">
      <alignment horizontal="left" vertical="top" wrapText="1"/>
    </xf>
    <xf numFmtId="49" fontId="9" fillId="33" borderId="28" xfId="0" applyNumberFormat="1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wrapText="1"/>
    </xf>
    <xf numFmtId="174" fontId="9" fillId="33" borderId="17" xfId="0" applyNumberFormat="1" applyFont="1" applyFill="1" applyBorder="1" applyAlignment="1">
      <alignment horizontal="right" wrapText="1"/>
    </xf>
    <xf numFmtId="49" fontId="6" fillId="33" borderId="15" xfId="0" applyNumberFormat="1" applyFont="1" applyFill="1" applyBorder="1" applyAlignment="1">
      <alignment horizontal="center"/>
    </xf>
    <xf numFmtId="174" fontId="6" fillId="33" borderId="15" xfId="0" applyNumberFormat="1" applyFont="1" applyFill="1" applyBorder="1" applyAlignment="1">
      <alignment horizontal="right"/>
    </xf>
    <xf numFmtId="174" fontId="0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9" fillId="33" borderId="36" xfId="0" applyNumberFormat="1" applyFont="1" applyFill="1" applyBorder="1" applyAlignment="1">
      <alignment horizontal="left" vertical="center" wrapText="1"/>
    </xf>
    <xf numFmtId="174" fontId="9" fillId="33" borderId="15" xfId="0" applyNumberFormat="1" applyFont="1" applyFill="1" applyBorder="1" applyAlignment="1">
      <alignment horizontal="right" wrapText="1"/>
    </xf>
    <xf numFmtId="174" fontId="9" fillId="33" borderId="11" xfId="0" applyNumberFormat="1" applyFont="1" applyFill="1" applyBorder="1" applyAlignment="1">
      <alignment horizontal="right" wrapText="1"/>
    </xf>
    <xf numFmtId="49" fontId="9" fillId="33" borderId="4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74" fontId="9" fillId="33" borderId="15" xfId="0" applyNumberFormat="1" applyFont="1" applyFill="1" applyBorder="1" applyAlignment="1">
      <alignment horizontal="right"/>
    </xf>
    <xf numFmtId="49" fontId="16" fillId="33" borderId="14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9" fillId="33" borderId="24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85" fontId="5" fillId="33" borderId="10" xfId="0" applyNumberFormat="1" applyFont="1" applyFill="1" applyBorder="1" applyAlignment="1">
      <alignment horizontal="left" vertical="center" wrapText="1"/>
    </xf>
    <xf numFmtId="185" fontId="9" fillId="33" borderId="24" xfId="0" applyNumberFormat="1" applyFont="1" applyFill="1" applyBorder="1" applyAlignment="1">
      <alignment horizontal="left" vertical="center" wrapText="1"/>
    </xf>
    <xf numFmtId="49" fontId="9" fillId="33" borderId="36" xfId="0" applyNumberFormat="1" applyFont="1" applyFill="1" applyBorder="1" applyAlignment="1">
      <alignment horizontal="left" vertical="center" wrapText="1"/>
    </xf>
    <xf numFmtId="174" fontId="5" fillId="33" borderId="47" xfId="0" applyNumberFormat="1" applyFont="1" applyFill="1" applyBorder="1" applyAlignment="1">
      <alignment horizontal="right" wrapText="1"/>
    </xf>
    <xf numFmtId="49" fontId="5" fillId="33" borderId="12" xfId="0" applyNumberFormat="1" applyFont="1" applyFill="1" applyBorder="1" applyAlignment="1">
      <alignment horizontal="center"/>
    </xf>
    <xf numFmtId="174" fontId="5" fillId="33" borderId="48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horizontal="left" wrapText="1"/>
    </xf>
    <xf numFmtId="185" fontId="6" fillId="33" borderId="10" xfId="0" applyNumberFormat="1" applyFont="1" applyFill="1" applyBorder="1" applyAlignment="1">
      <alignment horizontal="left" vertical="center" wrapText="1"/>
    </xf>
    <xf numFmtId="174" fontId="9" fillId="33" borderId="27" xfId="0" applyNumberFormat="1" applyFont="1" applyFill="1" applyBorder="1" applyAlignment="1">
      <alignment horizontal="right" wrapText="1"/>
    </xf>
    <xf numFmtId="174" fontId="9" fillId="33" borderId="27" xfId="0" applyNumberFormat="1" applyFont="1" applyFill="1" applyBorder="1" applyAlignment="1">
      <alignment horizontal="right"/>
    </xf>
    <xf numFmtId="174" fontId="9" fillId="33" borderId="49" xfId="0" applyNumberFormat="1" applyFont="1" applyFill="1" applyBorder="1" applyAlignment="1">
      <alignment horizontal="right" wrapText="1"/>
    </xf>
    <xf numFmtId="174" fontId="9" fillId="33" borderId="47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174" fontId="9" fillId="33" borderId="52" xfId="0" applyNumberFormat="1" applyFont="1" applyFill="1" applyBorder="1" applyAlignment="1">
      <alignment horizontal="right" wrapText="1"/>
    </xf>
    <xf numFmtId="49" fontId="9" fillId="33" borderId="29" xfId="0" applyNumberFormat="1" applyFont="1" applyFill="1" applyBorder="1" applyAlignment="1">
      <alignment horizontal="center"/>
    </xf>
    <xf numFmtId="174" fontId="9" fillId="33" borderId="29" xfId="0" applyNumberFormat="1" applyFont="1" applyFill="1" applyBorder="1" applyAlignment="1">
      <alignment horizontal="right"/>
    </xf>
    <xf numFmtId="174" fontId="9" fillId="33" borderId="49" xfId="0" applyNumberFormat="1" applyFont="1" applyFill="1" applyBorder="1" applyAlignment="1">
      <alignment horizontal="right"/>
    </xf>
    <xf numFmtId="49" fontId="4" fillId="7" borderId="53" xfId="54" applyNumberFormat="1" applyFont="1" applyFill="1" applyBorder="1" applyAlignment="1" applyProtection="1">
      <alignment horizontal="center" vertical="center" wrapText="1"/>
      <protection/>
    </xf>
    <xf numFmtId="49" fontId="6" fillId="7" borderId="54" xfId="0" applyNumberFormat="1" applyFont="1" applyFill="1" applyBorder="1" applyAlignment="1">
      <alignment horizontal="left" wrapText="1"/>
    </xf>
    <xf numFmtId="49" fontId="6" fillId="7" borderId="55" xfId="0" applyNumberFormat="1" applyFon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174" fontId="6" fillId="7" borderId="55" xfId="0" applyNumberFormat="1" applyFont="1" applyFill="1" applyBorder="1" applyAlignment="1">
      <alignment horizontal="right" wrapText="1"/>
    </xf>
    <xf numFmtId="174" fontId="6" fillId="7" borderId="56" xfId="0" applyNumberFormat="1" applyFont="1" applyFill="1" applyBorder="1" applyAlignment="1">
      <alignment horizontal="right" wrapText="1"/>
    </xf>
    <xf numFmtId="174" fontId="5" fillId="33" borderId="57" xfId="0" applyNumberFormat="1" applyFont="1" applyFill="1" applyBorder="1" applyAlignment="1">
      <alignment horizontal="right" wrapText="1"/>
    </xf>
    <xf numFmtId="174" fontId="9" fillId="33" borderId="47" xfId="0" applyNumberFormat="1" applyFont="1" applyFill="1" applyBorder="1" applyAlignment="1">
      <alignment horizontal="right" wrapText="1"/>
    </xf>
    <xf numFmtId="174" fontId="5" fillId="33" borderId="44" xfId="0" applyNumberFormat="1" applyFont="1" applyFill="1" applyBorder="1" applyAlignment="1">
      <alignment horizontal="right" wrapText="1"/>
    </xf>
    <xf numFmtId="174" fontId="5" fillId="33" borderId="47" xfId="0" applyNumberFormat="1" applyFont="1" applyFill="1" applyBorder="1" applyAlignment="1">
      <alignment horizontal="right" wrapText="1"/>
    </xf>
    <xf numFmtId="174" fontId="5" fillId="33" borderId="27" xfId="0" applyNumberFormat="1" applyFont="1" applyFill="1" applyBorder="1" applyAlignment="1">
      <alignment horizontal="right" wrapText="1"/>
    </xf>
    <xf numFmtId="174" fontId="9" fillId="33" borderId="47" xfId="0" applyNumberFormat="1" applyFont="1" applyFill="1" applyBorder="1" applyAlignment="1">
      <alignment horizontal="right" wrapText="1"/>
    </xf>
    <xf numFmtId="174" fontId="5" fillId="33" borderId="44" xfId="0" applyNumberFormat="1" applyFont="1" applyFill="1" applyBorder="1" applyAlignment="1">
      <alignment horizontal="right"/>
    </xf>
    <xf numFmtId="174" fontId="5" fillId="33" borderId="45" xfId="0" applyNumberFormat="1" applyFont="1" applyFill="1" applyBorder="1" applyAlignment="1">
      <alignment horizontal="right" wrapText="1"/>
    </xf>
    <xf numFmtId="174" fontId="5" fillId="33" borderId="45" xfId="0" applyNumberFormat="1" applyFont="1" applyFill="1" applyBorder="1" applyAlignment="1">
      <alignment horizontal="right"/>
    </xf>
    <xf numFmtId="174" fontId="9" fillId="33" borderId="16" xfId="0" applyNumberFormat="1" applyFont="1" applyFill="1" applyBorder="1" applyAlignment="1">
      <alignment horizontal="right" wrapText="1"/>
    </xf>
    <xf numFmtId="174" fontId="5" fillId="33" borderId="48" xfId="0" applyNumberFormat="1" applyFont="1" applyFill="1" applyBorder="1" applyAlignment="1">
      <alignment horizontal="right"/>
    </xf>
    <xf numFmtId="174" fontId="5" fillId="33" borderId="58" xfId="0" applyNumberFormat="1" applyFont="1" applyFill="1" applyBorder="1" applyAlignment="1">
      <alignment horizontal="right" wrapText="1"/>
    </xf>
    <xf numFmtId="174" fontId="5" fillId="33" borderId="45" xfId="0" applyNumberFormat="1" applyFont="1" applyFill="1" applyBorder="1" applyAlignment="1">
      <alignment horizontal="right"/>
    </xf>
    <xf numFmtId="174" fontId="6" fillId="33" borderId="45" xfId="0" applyNumberFormat="1" applyFont="1" applyFill="1" applyBorder="1" applyAlignment="1">
      <alignment horizontal="right"/>
    </xf>
    <xf numFmtId="174" fontId="9" fillId="33" borderId="45" xfId="0" applyNumberFormat="1" applyFont="1" applyFill="1" applyBorder="1" applyAlignment="1">
      <alignment horizontal="right"/>
    </xf>
    <xf numFmtId="174" fontId="9" fillId="33" borderId="52" xfId="0" applyNumberFormat="1" applyFont="1" applyFill="1" applyBorder="1" applyAlignment="1">
      <alignment horizontal="right"/>
    </xf>
    <xf numFmtId="174" fontId="6" fillId="33" borderId="27" xfId="0" applyNumberFormat="1" applyFont="1" applyFill="1" applyBorder="1" applyAlignment="1">
      <alignment horizontal="right"/>
    </xf>
    <xf numFmtId="174" fontId="5" fillId="33" borderId="47" xfId="0" applyNumberFormat="1" applyFont="1" applyFill="1" applyBorder="1" applyAlignment="1">
      <alignment horizontal="right"/>
    </xf>
    <xf numFmtId="174" fontId="5" fillId="33" borderId="27" xfId="0" applyNumberFormat="1" applyFont="1" applyFill="1" applyBorder="1" applyAlignment="1">
      <alignment horizontal="right"/>
    </xf>
    <xf numFmtId="174" fontId="9" fillId="33" borderId="16" xfId="0" applyNumberFormat="1" applyFont="1" applyFill="1" applyBorder="1" applyAlignment="1">
      <alignment horizontal="right"/>
    </xf>
    <xf numFmtId="174" fontId="6" fillId="33" borderId="44" xfId="0" applyNumberFormat="1" applyFont="1" applyFill="1" applyBorder="1" applyAlignment="1">
      <alignment horizontal="right"/>
    </xf>
    <xf numFmtId="174" fontId="9" fillId="33" borderId="44" xfId="0" applyNumberFormat="1" applyFont="1" applyFill="1" applyBorder="1" applyAlignment="1">
      <alignment horizontal="right" wrapText="1"/>
    </xf>
    <xf numFmtId="174" fontId="9" fillId="33" borderId="48" xfId="0" applyNumberFormat="1" applyFont="1" applyFill="1" applyBorder="1" applyAlignment="1">
      <alignment horizontal="right" wrapText="1"/>
    </xf>
    <xf numFmtId="174" fontId="5" fillId="33" borderId="59" xfId="0" applyNumberFormat="1" applyFont="1" applyFill="1" applyBorder="1" applyAlignment="1">
      <alignment horizontal="right" wrapText="1"/>
    </xf>
    <xf numFmtId="174" fontId="6" fillId="33" borderId="57" xfId="0" applyNumberFormat="1" applyFont="1" applyFill="1" applyBorder="1" applyAlignment="1">
      <alignment horizontal="right" wrapText="1"/>
    </xf>
    <xf numFmtId="174" fontId="6" fillId="33" borderId="44" xfId="0" applyNumberFormat="1" applyFont="1" applyFill="1" applyBorder="1" applyAlignment="1">
      <alignment horizontal="right" wrapText="1"/>
    </xf>
    <xf numFmtId="174" fontId="6" fillId="33" borderId="47" xfId="0" applyNumberFormat="1" applyFont="1" applyFill="1" applyBorder="1" applyAlignment="1">
      <alignment horizontal="right"/>
    </xf>
    <xf numFmtId="174" fontId="9" fillId="33" borderId="45" xfId="0" applyNumberFormat="1" applyFont="1" applyFill="1" applyBorder="1" applyAlignment="1">
      <alignment horizontal="right" wrapText="1"/>
    </xf>
    <xf numFmtId="175" fontId="6" fillId="33" borderId="44" xfId="0" applyNumberFormat="1" applyFont="1" applyFill="1" applyBorder="1" applyAlignment="1">
      <alignment horizontal="right"/>
    </xf>
    <xf numFmtId="175" fontId="6" fillId="33" borderId="45" xfId="0" applyNumberFormat="1" applyFont="1" applyFill="1" applyBorder="1" applyAlignment="1">
      <alignment horizontal="right"/>
    </xf>
    <xf numFmtId="174" fontId="9" fillId="33" borderId="59" xfId="0" applyNumberFormat="1" applyFont="1" applyFill="1" applyBorder="1" applyAlignment="1">
      <alignment horizontal="right"/>
    </xf>
    <xf numFmtId="174" fontId="6" fillId="33" borderId="48" xfId="0" applyNumberFormat="1" applyFont="1" applyFill="1" applyBorder="1" applyAlignment="1">
      <alignment horizontal="right"/>
    </xf>
    <xf numFmtId="174" fontId="9" fillId="33" borderId="59" xfId="0" applyNumberFormat="1" applyFont="1" applyFill="1" applyBorder="1" applyAlignment="1">
      <alignment horizontal="right" wrapText="1"/>
    </xf>
    <xf numFmtId="174" fontId="9" fillId="33" borderId="58" xfId="0" applyNumberFormat="1" applyFont="1" applyFill="1" applyBorder="1" applyAlignment="1">
      <alignment horizontal="right"/>
    </xf>
    <xf numFmtId="174" fontId="9" fillId="33" borderId="52" xfId="0" applyNumberFormat="1" applyFont="1" applyFill="1" applyBorder="1" applyAlignment="1">
      <alignment horizontal="right" wrapText="1"/>
    </xf>
    <xf numFmtId="174" fontId="9" fillId="33" borderId="49" xfId="0" applyNumberFormat="1" applyFont="1" applyFill="1" applyBorder="1" applyAlignment="1">
      <alignment horizontal="right" wrapText="1"/>
    </xf>
    <xf numFmtId="0" fontId="0" fillId="33" borderId="60" xfId="0" applyFont="1" applyFill="1" applyBorder="1" applyAlignment="1">
      <alignment/>
    </xf>
    <xf numFmtId="174" fontId="5" fillId="33" borderId="61" xfId="0" applyNumberFormat="1" applyFont="1" applyFill="1" applyBorder="1" applyAlignment="1">
      <alignment horizontal="right" wrapText="1"/>
    </xf>
    <xf numFmtId="174" fontId="9" fillId="33" borderId="21" xfId="0" applyNumberFormat="1" applyFont="1" applyFill="1" applyBorder="1" applyAlignment="1">
      <alignment horizontal="right" wrapText="1"/>
    </xf>
    <xf numFmtId="174" fontId="9" fillId="33" borderId="58" xfId="0" applyNumberFormat="1" applyFont="1" applyFill="1" applyBorder="1" applyAlignment="1">
      <alignment horizontal="right" wrapText="1"/>
    </xf>
    <xf numFmtId="49" fontId="6" fillId="33" borderId="26" xfId="0" applyNumberFormat="1" applyFont="1" applyFill="1" applyBorder="1" applyAlignment="1">
      <alignment horizontal="left" vertical="justify" wrapText="1"/>
    </xf>
    <xf numFmtId="174" fontId="56" fillId="33" borderId="0" xfId="0" applyNumberFormat="1" applyFont="1" applyFill="1" applyAlignment="1">
      <alignment/>
    </xf>
    <xf numFmtId="174" fontId="17" fillId="33" borderId="0" xfId="0" applyNumberFormat="1" applyFont="1" applyFill="1" applyAlignment="1">
      <alignment/>
    </xf>
    <xf numFmtId="49" fontId="9" fillId="33" borderId="24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/>
    </xf>
    <xf numFmtId="185" fontId="6" fillId="33" borderId="36" xfId="0" applyNumberFormat="1" applyFont="1" applyFill="1" applyBorder="1" applyAlignment="1">
      <alignment horizontal="left" vertical="center" wrapText="1"/>
    </xf>
    <xf numFmtId="185" fontId="6" fillId="33" borderId="33" xfId="0" applyNumberFormat="1" applyFont="1" applyFill="1" applyBorder="1" applyAlignment="1">
      <alignment horizontal="left" vertical="center" wrapText="1"/>
    </xf>
    <xf numFmtId="0" fontId="9" fillId="33" borderId="31" xfId="0" applyNumberFormat="1" applyFont="1" applyFill="1" applyBorder="1" applyAlignment="1">
      <alignment horizontal="left" wrapText="1"/>
    </xf>
    <xf numFmtId="174" fontId="9" fillId="33" borderId="13" xfId="0" applyNumberFormat="1" applyFont="1" applyFill="1" applyBorder="1" applyAlignment="1">
      <alignment horizontal="right"/>
    </xf>
    <xf numFmtId="174" fontId="9" fillId="33" borderId="48" xfId="0" applyNumberFormat="1" applyFont="1" applyFill="1" applyBorder="1" applyAlignment="1">
      <alignment horizontal="right"/>
    </xf>
    <xf numFmtId="174" fontId="9" fillId="33" borderId="62" xfId="0" applyNumberFormat="1" applyFont="1" applyFill="1" applyBorder="1" applyAlignment="1">
      <alignment horizontal="right" wrapText="1"/>
    </xf>
    <xf numFmtId="0" fontId="14" fillId="33" borderId="0" xfId="0" applyFont="1" applyFill="1" applyAlignment="1">
      <alignment horizontal="right"/>
    </xf>
    <xf numFmtId="49" fontId="8" fillId="33" borderId="0" xfId="5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212"/>
  <sheetViews>
    <sheetView showGridLines="0" tabSelected="1" view="pageBreakPreview" zoomScale="68" zoomScaleNormal="75" zoomScaleSheetLayoutView="68" zoomScalePageLayoutView="0" workbookViewId="0" topLeftCell="A1188">
      <selection activeCell="H553" sqref="H553"/>
    </sheetView>
  </sheetViews>
  <sheetFormatPr defaultColWidth="8.875" defaultRowHeight="12.75"/>
  <cols>
    <col min="1" max="1" width="9.00390625" style="25" bestFit="1" customWidth="1"/>
    <col min="2" max="2" width="103.25390625" style="25" customWidth="1"/>
    <col min="3" max="3" width="10.25390625" style="25" customWidth="1"/>
    <col min="4" max="4" width="8.25390625" style="25" customWidth="1"/>
    <col min="5" max="5" width="11.25390625" style="25" bestFit="1" customWidth="1"/>
    <col min="6" max="6" width="20.75390625" style="25" bestFit="1" customWidth="1"/>
    <col min="7" max="7" width="14.875" style="25" bestFit="1" customWidth="1"/>
    <col min="8" max="8" width="21.125" style="25" bestFit="1" customWidth="1"/>
    <col min="9" max="10" width="21.875" style="25" customWidth="1"/>
    <col min="11" max="11" width="11.375" style="25" bestFit="1" customWidth="1"/>
    <col min="12" max="12" width="8.875" style="25" customWidth="1"/>
    <col min="13" max="13" width="9.125" style="25" bestFit="1" customWidth="1"/>
    <col min="14" max="16384" width="8.875" style="25" customWidth="1"/>
  </cols>
  <sheetData>
    <row r="1" spans="2:10" ht="20.25">
      <c r="B1" s="295" t="s">
        <v>546</v>
      </c>
      <c r="C1" s="295"/>
      <c r="D1" s="295"/>
      <c r="E1" s="295"/>
      <c r="F1" s="295"/>
      <c r="G1" s="295"/>
      <c r="H1" s="295"/>
      <c r="I1" s="295"/>
      <c r="J1" s="295"/>
    </row>
    <row r="2" spans="2:10" ht="20.25">
      <c r="B2" s="295" t="s">
        <v>547</v>
      </c>
      <c r="C2" s="295"/>
      <c r="D2" s="295"/>
      <c r="E2" s="295"/>
      <c r="F2" s="295"/>
      <c r="G2" s="295"/>
      <c r="H2" s="295"/>
      <c r="I2" s="295"/>
      <c r="J2" s="295"/>
    </row>
    <row r="3" spans="2:10" ht="20.25">
      <c r="B3" s="295" t="s">
        <v>548</v>
      </c>
      <c r="C3" s="295"/>
      <c r="D3" s="295"/>
      <c r="E3" s="295"/>
      <c r="F3" s="295"/>
      <c r="G3" s="295"/>
      <c r="H3" s="295"/>
      <c r="I3" s="295"/>
      <c r="J3" s="295"/>
    </row>
    <row r="4" spans="2:10" ht="20.25">
      <c r="B4" s="295" t="s">
        <v>549</v>
      </c>
      <c r="C4" s="295"/>
      <c r="D4" s="295"/>
      <c r="E4" s="295"/>
      <c r="F4" s="295"/>
      <c r="G4" s="295"/>
      <c r="H4" s="295"/>
      <c r="I4" s="295"/>
      <c r="J4" s="295"/>
    </row>
    <row r="5" spans="2:10" ht="20.25">
      <c r="B5" s="295" t="s">
        <v>759</v>
      </c>
      <c r="C5" s="295"/>
      <c r="D5" s="295"/>
      <c r="E5" s="295"/>
      <c r="F5" s="295"/>
      <c r="G5" s="295"/>
      <c r="H5" s="295"/>
      <c r="I5" s="295"/>
      <c r="J5" s="295"/>
    </row>
    <row r="6" spans="2:10" ht="20.25">
      <c r="B6" s="295" t="s">
        <v>578</v>
      </c>
      <c r="C6" s="295"/>
      <c r="D6" s="295"/>
      <c r="E6" s="295"/>
      <c r="F6" s="295"/>
      <c r="G6" s="295"/>
      <c r="H6" s="295"/>
      <c r="I6" s="295"/>
      <c r="J6" s="295"/>
    </row>
    <row r="7" spans="2:10" ht="20.25">
      <c r="B7" s="295" t="s">
        <v>758</v>
      </c>
      <c r="C7" s="295"/>
      <c r="D7" s="295"/>
      <c r="E7" s="295"/>
      <c r="F7" s="295"/>
      <c r="G7" s="295"/>
      <c r="H7" s="295"/>
      <c r="I7" s="295"/>
      <c r="J7" s="295"/>
    </row>
    <row r="8" spans="2:10" ht="20.25">
      <c r="B8" s="295" t="s">
        <v>772</v>
      </c>
      <c r="C8" s="295"/>
      <c r="D8" s="295"/>
      <c r="E8" s="295"/>
      <c r="F8" s="295"/>
      <c r="G8" s="295"/>
      <c r="H8" s="295"/>
      <c r="I8" s="295"/>
      <c r="J8" s="295"/>
    </row>
    <row r="9" spans="1:10" ht="25.5">
      <c r="A9" s="296" t="s">
        <v>545</v>
      </c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25.5">
      <c r="A10" s="296" t="s">
        <v>76</v>
      </c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25.5">
      <c r="A11" s="296" t="s">
        <v>760</v>
      </c>
      <c r="B11" s="296"/>
      <c r="C11" s="296"/>
      <c r="D11" s="296"/>
      <c r="E11" s="296"/>
      <c r="F11" s="296"/>
      <c r="G11" s="296"/>
      <c r="H11" s="296"/>
      <c r="I11" s="296"/>
      <c r="J11" s="296"/>
    </row>
    <row r="12" ht="13.5" thickBot="1"/>
    <row r="13" spans="1:10" ht="63.75" thickTop="1">
      <c r="A13" s="129" t="s">
        <v>38</v>
      </c>
      <c r="B13" s="129" t="s">
        <v>39</v>
      </c>
      <c r="C13" s="129" t="s">
        <v>61</v>
      </c>
      <c r="D13" s="129" t="s">
        <v>62</v>
      </c>
      <c r="E13" s="129" t="s">
        <v>63</v>
      </c>
      <c r="F13" s="129" t="s">
        <v>64</v>
      </c>
      <c r="G13" s="129" t="s">
        <v>1</v>
      </c>
      <c r="H13" s="130" t="s">
        <v>694</v>
      </c>
      <c r="I13" s="130" t="s">
        <v>695</v>
      </c>
      <c r="J13" s="130" t="s">
        <v>696</v>
      </c>
    </row>
    <row r="14" spans="1:10" ht="13.5" thickBot="1">
      <c r="A14" s="131">
        <v>1</v>
      </c>
      <c r="B14" s="131">
        <v>2</v>
      </c>
      <c r="C14" s="131" t="s">
        <v>48</v>
      </c>
      <c r="D14" s="131" t="s">
        <v>49</v>
      </c>
      <c r="E14" s="131" t="s">
        <v>50</v>
      </c>
      <c r="F14" s="131" t="s">
        <v>40</v>
      </c>
      <c r="G14" s="131" t="s">
        <v>66</v>
      </c>
      <c r="H14" s="131" t="s">
        <v>181</v>
      </c>
      <c r="I14" s="131" t="s">
        <v>181</v>
      </c>
      <c r="J14" s="131" t="s">
        <v>181</v>
      </c>
    </row>
    <row r="15" spans="1:10" ht="39" thickBot="1" thickTop="1">
      <c r="A15" s="238" t="s">
        <v>54</v>
      </c>
      <c r="B15" s="239" t="s">
        <v>69</v>
      </c>
      <c r="C15" s="240" t="s">
        <v>59</v>
      </c>
      <c r="D15" s="240"/>
      <c r="E15" s="241" t="s">
        <v>37</v>
      </c>
      <c r="F15" s="241" t="s">
        <v>37</v>
      </c>
      <c r="G15" s="241" t="s">
        <v>37</v>
      </c>
      <c r="H15" s="242">
        <f>H16+H108+H127+H305+H317+H364+H426+H212+H198+H205</f>
        <v>1349852.1</v>
      </c>
      <c r="I15" s="242">
        <f>I16+I108+I127+I305+I317+I364+I426+I212+I198+I205</f>
        <v>1271908.1</v>
      </c>
      <c r="J15" s="243">
        <f>J16+J108+J127+J305+J317+J364+J426+J212+J198+J205</f>
        <v>762763.9</v>
      </c>
    </row>
    <row r="16" spans="1:10" ht="18.75">
      <c r="A16" s="26"/>
      <c r="B16" s="113" t="s">
        <v>22</v>
      </c>
      <c r="C16" s="43" t="s">
        <v>59</v>
      </c>
      <c r="D16" s="43" t="s">
        <v>54</v>
      </c>
      <c r="E16" s="27"/>
      <c r="F16" s="27" t="s">
        <v>37</v>
      </c>
      <c r="G16" s="27" t="s">
        <v>37</v>
      </c>
      <c r="H16" s="67">
        <f>H17+H60+H66</f>
        <v>319143.1</v>
      </c>
      <c r="I16" s="67">
        <f>I17+I60+I66</f>
        <v>332391</v>
      </c>
      <c r="J16" s="244">
        <f>J17+J60+J66</f>
        <v>285720.3</v>
      </c>
    </row>
    <row r="17" spans="1:10" ht="56.25">
      <c r="A17" s="26"/>
      <c r="B17" s="96" t="s">
        <v>676</v>
      </c>
      <c r="C17" s="22" t="s">
        <v>59</v>
      </c>
      <c r="D17" s="22" t="s">
        <v>54</v>
      </c>
      <c r="E17" s="23" t="s">
        <v>55</v>
      </c>
      <c r="F17" s="23"/>
      <c r="G17" s="23"/>
      <c r="H17" s="66">
        <f>H18</f>
        <v>133340.2</v>
      </c>
      <c r="I17" s="66">
        <f>I18</f>
        <v>131716.4</v>
      </c>
      <c r="J17" s="186">
        <f>J18</f>
        <v>131716.4</v>
      </c>
    </row>
    <row r="18" spans="1:10" ht="18.75">
      <c r="A18" s="26"/>
      <c r="B18" s="96" t="s">
        <v>73</v>
      </c>
      <c r="C18" s="3" t="s">
        <v>59</v>
      </c>
      <c r="D18" s="3" t="s">
        <v>54</v>
      </c>
      <c r="E18" s="4" t="s">
        <v>55</v>
      </c>
      <c r="F18" s="4" t="s">
        <v>95</v>
      </c>
      <c r="G18" s="15"/>
      <c r="H18" s="66">
        <f>H19+H38+H25+H29</f>
        <v>133340.2</v>
      </c>
      <c r="I18" s="66">
        <f>I19+I38+I25+I29</f>
        <v>131716.4</v>
      </c>
      <c r="J18" s="186">
        <f>J19+J38+J25+J29</f>
        <v>131716.4</v>
      </c>
    </row>
    <row r="19" spans="1:10" ht="37.5">
      <c r="A19" s="26"/>
      <c r="B19" s="96" t="s">
        <v>31</v>
      </c>
      <c r="C19" s="22" t="s">
        <v>59</v>
      </c>
      <c r="D19" s="22" t="s">
        <v>54</v>
      </c>
      <c r="E19" s="23" t="s">
        <v>55</v>
      </c>
      <c r="F19" s="23" t="s">
        <v>97</v>
      </c>
      <c r="G19" s="28"/>
      <c r="H19" s="66">
        <f>H20</f>
        <v>105338.2</v>
      </c>
      <c r="I19" s="66">
        <f aca="true" t="shared" si="0" ref="H19:J20">I20</f>
        <v>104726.09999999999</v>
      </c>
      <c r="J19" s="186">
        <f t="shared" si="0"/>
        <v>104726.09999999999</v>
      </c>
    </row>
    <row r="20" spans="1:10" ht="18.75">
      <c r="A20" s="26"/>
      <c r="B20" s="95" t="s">
        <v>35</v>
      </c>
      <c r="C20" s="11" t="s">
        <v>59</v>
      </c>
      <c r="D20" s="11" t="s">
        <v>54</v>
      </c>
      <c r="E20" s="1" t="s">
        <v>55</v>
      </c>
      <c r="F20" s="1" t="s">
        <v>96</v>
      </c>
      <c r="G20" s="12"/>
      <c r="H20" s="62">
        <f t="shared" si="0"/>
        <v>105338.2</v>
      </c>
      <c r="I20" s="62">
        <f t="shared" si="0"/>
        <v>104726.09999999999</v>
      </c>
      <c r="J20" s="188">
        <f t="shared" si="0"/>
        <v>104726.09999999999</v>
      </c>
    </row>
    <row r="21" spans="1:10" ht="18.75">
      <c r="A21" s="26"/>
      <c r="B21" s="95" t="s">
        <v>277</v>
      </c>
      <c r="C21" s="11" t="s">
        <v>59</v>
      </c>
      <c r="D21" s="11" t="s">
        <v>54</v>
      </c>
      <c r="E21" s="1" t="s">
        <v>55</v>
      </c>
      <c r="F21" s="1" t="s">
        <v>276</v>
      </c>
      <c r="G21" s="12"/>
      <c r="H21" s="62">
        <f>H22+H23+H24</f>
        <v>105338.2</v>
      </c>
      <c r="I21" s="62">
        <f>I22+I23+I24</f>
        <v>104726.09999999999</v>
      </c>
      <c r="J21" s="62">
        <f>J22+J23+J24</f>
        <v>104726.09999999999</v>
      </c>
    </row>
    <row r="22" spans="1:10" ht="54">
      <c r="A22" s="26"/>
      <c r="B22" s="92" t="s">
        <v>201</v>
      </c>
      <c r="C22" s="21" t="s">
        <v>59</v>
      </c>
      <c r="D22" s="21" t="s">
        <v>54</v>
      </c>
      <c r="E22" s="21" t="s">
        <v>55</v>
      </c>
      <c r="F22" s="21" t="s">
        <v>276</v>
      </c>
      <c r="G22" s="21" t="s">
        <v>191</v>
      </c>
      <c r="H22" s="68">
        <f>98127.1-934.1-423.4+150</f>
        <v>96919.6</v>
      </c>
      <c r="I22" s="68">
        <f>99185.4-2560.1</f>
        <v>96625.29999999999</v>
      </c>
      <c r="J22" s="99">
        <f>99185.4-2560.1</f>
        <v>96625.29999999999</v>
      </c>
    </row>
    <row r="23" spans="1:10" ht="36">
      <c r="A23" s="26"/>
      <c r="B23" s="102" t="s">
        <v>199</v>
      </c>
      <c r="C23" s="20" t="s">
        <v>59</v>
      </c>
      <c r="D23" s="20" t="s">
        <v>54</v>
      </c>
      <c r="E23" s="20" t="s">
        <v>55</v>
      </c>
      <c r="F23" s="20" t="s">
        <v>276</v>
      </c>
      <c r="G23" s="20" t="s">
        <v>192</v>
      </c>
      <c r="H23" s="69">
        <f>7831.8+269-105.6</f>
        <v>7995.2</v>
      </c>
      <c r="I23" s="69">
        <f>7831.8+269</f>
        <v>8100.8</v>
      </c>
      <c r="J23" s="234">
        <f>7831.8+269</f>
        <v>8100.8</v>
      </c>
    </row>
    <row r="24" spans="1:10" ht="18">
      <c r="A24" s="26"/>
      <c r="B24" s="148" t="s">
        <v>205</v>
      </c>
      <c r="C24" s="20" t="s">
        <v>59</v>
      </c>
      <c r="D24" s="20" t="s">
        <v>54</v>
      </c>
      <c r="E24" s="20" t="s">
        <v>55</v>
      </c>
      <c r="F24" s="20" t="s">
        <v>276</v>
      </c>
      <c r="G24" s="20" t="s">
        <v>193</v>
      </c>
      <c r="H24" s="120">
        <v>423.4</v>
      </c>
      <c r="I24" s="120">
        <v>0</v>
      </c>
      <c r="J24" s="266">
        <v>0</v>
      </c>
    </row>
    <row r="25" spans="1:10" ht="18.75">
      <c r="A25" s="26"/>
      <c r="B25" s="96" t="s">
        <v>12</v>
      </c>
      <c r="C25" s="22" t="s">
        <v>59</v>
      </c>
      <c r="D25" s="22" t="s">
        <v>54</v>
      </c>
      <c r="E25" s="23" t="s">
        <v>55</v>
      </c>
      <c r="F25" s="23" t="s">
        <v>98</v>
      </c>
      <c r="G25" s="28"/>
      <c r="H25" s="66">
        <f aca="true" t="shared" si="1" ref="H25:J27">H26</f>
        <v>4573.4</v>
      </c>
      <c r="I25" s="66">
        <f t="shared" si="1"/>
        <v>4573.4</v>
      </c>
      <c r="J25" s="186">
        <f t="shared" si="1"/>
        <v>4573.4</v>
      </c>
    </row>
    <row r="26" spans="1:10" ht="18.75">
      <c r="A26" s="26"/>
      <c r="B26" s="95" t="s">
        <v>35</v>
      </c>
      <c r="C26" s="11" t="s">
        <v>59</v>
      </c>
      <c r="D26" s="11" t="s">
        <v>54</v>
      </c>
      <c r="E26" s="1" t="s">
        <v>55</v>
      </c>
      <c r="F26" s="1" t="s">
        <v>99</v>
      </c>
      <c r="G26" s="12"/>
      <c r="H26" s="62">
        <f t="shared" si="1"/>
        <v>4573.4</v>
      </c>
      <c r="I26" s="62">
        <f t="shared" si="1"/>
        <v>4573.4</v>
      </c>
      <c r="J26" s="188">
        <f t="shared" si="1"/>
        <v>4573.4</v>
      </c>
    </row>
    <row r="27" spans="1:10" ht="18.75">
      <c r="A27" s="26"/>
      <c r="B27" s="98" t="s">
        <v>277</v>
      </c>
      <c r="C27" s="29" t="s">
        <v>59</v>
      </c>
      <c r="D27" s="29" t="s">
        <v>54</v>
      </c>
      <c r="E27" s="30" t="s">
        <v>55</v>
      </c>
      <c r="F27" s="30" t="s">
        <v>278</v>
      </c>
      <c r="G27" s="21"/>
      <c r="H27" s="65">
        <f t="shared" si="1"/>
        <v>4573.4</v>
      </c>
      <c r="I27" s="65">
        <f t="shared" si="1"/>
        <v>4573.4</v>
      </c>
      <c r="J27" s="100">
        <f t="shared" si="1"/>
        <v>4573.4</v>
      </c>
    </row>
    <row r="28" spans="1:10" ht="54">
      <c r="A28" s="26"/>
      <c r="B28" s="93" t="s">
        <v>580</v>
      </c>
      <c r="C28" s="9" t="s">
        <v>59</v>
      </c>
      <c r="D28" s="9" t="s">
        <v>54</v>
      </c>
      <c r="E28" s="9" t="s">
        <v>55</v>
      </c>
      <c r="F28" s="9" t="s">
        <v>278</v>
      </c>
      <c r="G28" s="9" t="s">
        <v>191</v>
      </c>
      <c r="H28" s="70">
        <v>4573.4</v>
      </c>
      <c r="I28" s="70">
        <v>4573.4</v>
      </c>
      <c r="J28" s="13">
        <v>4573.4</v>
      </c>
    </row>
    <row r="29" spans="1:10" ht="56.25">
      <c r="A29" s="26"/>
      <c r="B29" s="153" t="s">
        <v>700</v>
      </c>
      <c r="C29" s="122" t="s">
        <v>59</v>
      </c>
      <c r="D29" s="122" t="s">
        <v>54</v>
      </c>
      <c r="E29" s="123" t="s">
        <v>55</v>
      </c>
      <c r="F29" s="123" t="s">
        <v>698</v>
      </c>
      <c r="G29" s="10"/>
      <c r="H29" s="78">
        <f>H30</f>
        <v>1118.7</v>
      </c>
      <c r="I29" s="78">
        <f>I30</f>
        <v>0</v>
      </c>
      <c r="J29" s="221">
        <f>J30</f>
        <v>0</v>
      </c>
    </row>
    <row r="30" spans="1:10" ht="18.75">
      <c r="A30" s="26"/>
      <c r="B30" s="153" t="s">
        <v>35</v>
      </c>
      <c r="C30" s="122" t="s">
        <v>59</v>
      </c>
      <c r="D30" s="122" t="s">
        <v>54</v>
      </c>
      <c r="E30" s="123" t="s">
        <v>55</v>
      </c>
      <c r="F30" s="123" t="s">
        <v>699</v>
      </c>
      <c r="G30" s="10"/>
      <c r="H30" s="78">
        <f>H31+H34+H36</f>
        <v>1118.7</v>
      </c>
      <c r="I30" s="78">
        <f>I31+I34+I36</f>
        <v>0</v>
      </c>
      <c r="J30" s="221">
        <f>J31+J34+J36</f>
        <v>0</v>
      </c>
    </row>
    <row r="31" spans="1:10" ht="37.5">
      <c r="A31" s="26"/>
      <c r="B31" s="153" t="s">
        <v>701</v>
      </c>
      <c r="C31" s="122" t="s">
        <v>59</v>
      </c>
      <c r="D31" s="122" t="s">
        <v>54</v>
      </c>
      <c r="E31" s="123" t="s">
        <v>55</v>
      </c>
      <c r="F31" s="123" t="s">
        <v>702</v>
      </c>
      <c r="G31" s="10"/>
      <c r="H31" s="78">
        <f>H32+H33</f>
        <v>0</v>
      </c>
      <c r="I31" s="78">
        <f>I32+I33</f>
        <v>0</v>
      </c>
      <c r="J31" s="221">
        <f>J32+J33</f>
        <v>0</v>
      </c>
    </row>
    <row r="32" spans="1:10" ht="54">
      <c r="A32" s="26"/>
      <c r="B32" s="187" t="s">
        <v>201</v>
      </c>
      <c r="C32" s="21" t="s">
        <v>59</v>
      </c>
      <c r="D32" s="21" t="s">
        <v>54</v>
      </c>
      <c r="E32" s="21" t="s">
        <v>55</v>
      </c>
      <c r="F32" s="21" t="s">
        <v>702</v>
      </c>
      <c r="G32" s="21" t="s">
        <v>191</v>
      </c>
      <c r="H32" s="68">
        <f>105.7-105.7</f>
        <v>0</v>
      </c>
      <c r="I32" s="68">
        <v>0</v>
      </c>
      <c r="J32" s="99">
        <v>0</v>
      </c>
    </row>
    <row r="33" spans="1:10" ht="36">
      <c r="A33" s="26"/>
      <c r="B33" s="103" t="s">
        <v>199</v>
      </c>
      <c r="C33" s="9" t="s">
        <v>59</v>
      </c>
      <c r="D33" s="9" t="s">
        <v>54</v>
      </c>
      <c r="E33" s="9" t="s">
        <v>55</v>
      </c>
      <c r="F33" s="9" t="s">
        <v>702</v>
      </c>
      <c r="G33" s="9" t="s">
        <v>192</v>
      </c>
      <c r="H33" s="70">
        <f>105.6-105.6</f>
        <v>0</v>
      </c>
      <c r="I33" s="70">
        <v>0</v>
      </c>
      <c r="J33" s="13">
        <v>0</v>
      </c>
    </row>
    <row r="34" spans="1:10" ht="37.5">
      <c r="A34" s="26"/>
      <c r="B34" s="98" t="s">
        <v>703</v>
      </c>
      <c r="C34" s="29" t="s">
        <v>59</v>
      </c>
      <c r="D34" s="29" t="s">
        <v>54</v>
      </c>
      <c r="E34" s="30" t="s">
        <v>55</v>
      </c>
      <c r="F34" s="30" t="s">
        <v>704</v>
      </c>
      <c r="G34" s="21"/>
      <c r="H34" s="65">
        <f>H35</f>
        <v>100.6</v>
      </c>
      <c r="I34" s="65">
        <f>I35</f>
        <v>0</v>
      </c>
      <c r="J34" s="100">
        <f>J35</f>
        <v>0</v>
      </c>
    </row>
    <row r="35" spans="1:10" ht="54">
      <c r="A35" s="26"/>
      <c r="B35" s="206" t="s">
        <v>201</v>
      </c>
      <c r="C35" s="10" t="s">
        <v>59</v>
      </c>
      <c r="D35" s="10" t="s">
        <v>54</v>
      </c>
      <c r="E35" s="10" t="s">
        <v>55</v>
      </c>
      <c r="F35" s="10" t="s">
        <v>704</v>
      </c>
      <c r="G35" s="10" t="s">
        <v>191</v>
      </c>
      <c r="H35" s="79">
        <v>100.6</v>
      </c>
      <c r="I35" s="79">
        <v>0</v>
      </c>
      <c r="J35" s="245">
        <v>0</v>
      </c>
    </row>
    <row r="36" spans="1:10" ht="37.5">
      <c r="A36" s="26"/>
      <c r="B36" s="98" t="s">
        <v>705</v>
      </c>
      <c r="C36" s="29" t="s">
        <v>59</v>
      </c>
      <c r="D36" s="29" t="s">
        <v>54</v>
      </c>
      <c r="E36" s="30" t="s">
        <v>55</v>
      </c>
      <c r="F36" s="30" t="s">
        <v>706</v>
      </c>
      <c r="G36" s="21"/>
      <c r="H36" s="65">
        <f>H37</f>
        <v>1018.1</v>
      </c>
      <c r="I36" s="65">
        <f>I37</f>
        <v>0</v>
      </c>
      <c r="J36" s="100">
        <f>J37</f>
        <v>0</v>
      </c>
    </row>
    <row r="37" spans="1:10" ht="54">
      <c r="A37" s="26"/>
      <c r="B37" s="206" t="s">
        <v>201</v>
      </c>
      <c r="C37" s="10" t="s">
        <v>59</v>
      </c>
      <c r="D37" s="10" t="s">
        <v>54</v>
      </c>
      <c r="E37" s="10" t="s">
        <v>55</v>
      </c>
      <c r="F37" s="10" t="s">
        <v>706</v>
      </c>
      <c r="G37" s="10" t="s">
        <v>191</v>
      </c>
      <c r="H37" s="79">
        <f>852+166.1</f>
        <v>1018.1</v>
      </c>
      <c r="I37" s="79">
        <v>0</v>
      </c>
      <c r="J37" s="245">
        <v>0</v>
      </c>
    </row>
    <row r="38" spans="1:10" ht="37.5">
      <c r="A38" s="26"/>
      <c r="B38" s="96" t="s">
        <v>14</v>
      </c>
      <c r="C38" s="22" t="s">
        <v>59</v>
      </c>
      <c r="D38" s="22" t="s">
        <v>54</v>
      </c>
      <c r="E38" s="23" t="s">
        <v>55</v>
      </c>
      <c r="F38" s="23" t="s">
        <v>85</v>
      </c>
      <c r="G38" s="28"/>
      <c r="H38" s="66">
        <f>H39</f>
        <v>22309.9</v>
      </c>
      <c r="I38" s="66">
        <f>I39</f>
        <v>22416.9</v>
      </c>
      <c r="J38" s="186">
        <f>J39</f>
        <v>22416.9</v>
      </c>
    </row>
    <row r="39" spans="1:10" ht="18.75">
      <c r="A39" s="26"/>
      <c r="B39" s="96" t="s">
        <v>35</v>
      </c>
      <c r="C39" s="22" t="s">
        <v>59</v>
      </c>
      <c r="D39" s="22" t="s">
        <v>54</v>
      </c>
      <c r="E39" s="23" t="s">
        <v>55</v>
      </c>
      <c r="F39" s="23" t="s">
        <v>84</v>
      </c>
      <c r="G39" s="28"/>
      <c r="H39" s="66">
        <f>H40+H43+H46+H52+H55+H57+H49</f>
        <v>22309.9</v>
      </c>
      <c r="I39" s="66">
        <f>I40+I43+I46+I52+I55+I57+I49</f>
        <v>22416.9</v>
      </c>
      <c r="J39" s="186">
        <f>J40+J43+J46+J52+J55+J57+J49</f>
        <v>22416.9</v>
      </c>
    </row>
    <row r="40" spans="1:10" ht="18.75">
      <c r="A40" s="26"/>
      <c r="B40" s="132" t="s">
        <v>279</v>
      </c>
      <c r="C40" s="11" t="s">
        <v>59</v>
      </c>
      <c r="D40" s="11" t="s">
        <v>54</v>
      </c>
      <c r="E40" s="11" t="s">
        <v>55</v>
      </c>
      <c r="F40" s="1" t="s">
        <v>101</v>
      </c>
      <c r="G40" s="12"/>
      <c r="H40" s="62">
        <f>SUM(H41:H42)</f>
        <v>848</v>
      </c>
      <c r="I40" s="62">
        <f>SUM(I41:I42)</f>
        <v>848</v>
      </c>
      <c r="J40" s="188">
        <f>SUM(J41:J42)</f>
        <v>848</v>
      </c>
    </row>
    <row r="41" spans="1:10" ht="54">
      <c r="A41" s="26"/>
      <c r="B41" s="187" t="s">
        <v>201</v>
      </c>
      <c r="C41" s="21" t="s">
        <v>59</v>
      </c>
      <c r="D41" s="21" t="s">
        <v>54</v>
      </c>
      <c r="E41" s="21" t="s">
        <v>55</v>
      </c>
      <c r="F41" s="21" t="s">
        <v>101</v>
      </c>
      <c r="G41" s="21" t="s">
        <v>191</v>
      </c>
      <c r="H41" s="68">
        <v>706.7</v>
      </c>
      <c r="I41" s="68">
        <v>706.7</v>
      </c>
      <c r="J41" s="99">
        <v>706.7</v>
      </c>
    </row>
    <row r="42" spans="1:10" ht="36">
      <c r="A42" s="26"/>
      <c r="B42" s="103" t="s">
        <v>199</v>
      </c>
      <c r="C42" s="9" t="s">
        <v>59</v>
      </c>
      <c r="D42" s="9" t="s">
        <v>54</v>
      </c>
      <c r="E42" s="9" t="s">
        <v>55</v>
      </c>
      <c r="F42" s="9" t="s">
        <v>101</v>
      </c>
      <c r="G42" s="9" t="s">
        <v>192</v>
      </c>
      <c r="H42" s="70">
        <v>141.3</v>
      </c>
      <c r="I42" s="70">
        <v>141.3</v>
      </c>
      <c r="J42" s="13">
        <v>141.3</v>
      </c>
    </row>
    <row r="43" spans="1:10" ht="37.5">
      <c r="A43" s="26"/>
      <c r="B43" s="95" t="s">
        <v>280</v>
      </c>
      <c r="C43" s="11" t="s">
        <v>59</v>
      </c>
      <c r="D43" s="11" t="s">
        <v>54</v>
      </c>
      <c r="E43" s="1" t="s">
        <v>55</v>
      </c>
      <c r="F43" s="1" t="s">
        <v>102</v>
      </c>
      <c r="G43" s="12"/>
      <c r="H43" s="62">
        <f>SUM(H44:H45)</f>
        <v>3415.7</v>
      </c>
      <c r="I43" s="188">
        <f>SUM(I44:I45)</f>
        <v>3415.7</v>
      </c>
      <c r="J43" s="188">
        <f>SUM(J44:J45)</f>
        <v>3415.7</v>
      </c>
    </row>
    <row r="44" spans="1:10" ht="54">
      <c r="A44" s="26"/>
      <c r="B44" s="92" t="s">
        <v>201</v>
      </c>
      <c r="C44" s="21" t="s">
        <v>59</v>
      </c>
      <c r="D44" s="21" t="s">
        <v>54</v>
      </c>
      <c r="E44" s="21" t="s">
        <v>55</v>
      </c>
      <c r="F44" s="21" t="s">
        <v>102</v>
      </c>
      <c r="G44" s="21" t="s">
        <v>191</v>
      </c>
      <c r="H44" s="68">
        <v>3253</v>
      </c>
      <c r="I44" s="68">
        <v>3253</v>
      </c>
      <c r="J44" s="99">
        <v>3253</v>
      </c>
    </row>
    <row r="45" spans="1:10" ht="36">
      <c r="A45" s="26"/>
      <c r="B45" s="93" t="s">
        <v>199</v>
      </c>
      <c r="C45" s="9" t="s">
        <v>59</v>
      </c>
      <c r="D45" s="9" t="s">
        <v>54</v>
      </c>
      <c r="E45" s="9" t="s">
        <v>55</v>
      </c>
      <c r="F45" s="9" t="s">
        <v>102</v>
      </c>
      <c r="G45" s="9" t="s">
        <v>192</v>
      </c>
      <c r="H45" s="70">
        <v>162.7</v>
      </c>
      <c r="I45" s="70">
        <v>162.7</v>
      </c>
      <c r="J45" s="13">
        <v>162.7</v>
      </c>
    </row>
    <row r="46" spans="1:10" ht="18.75">
      <c r="A46" s="26"/>
      <c r="B46" s="95" t="s">
        <v>281</v>
      </c>
      <c r="C46" s="11" t="s">
        <v>59</v>
      </c>
      <c r="D46" s="11" t="s">
        <v>54</v>
      </c>
      <c r="E46" s="1" t="s">
        <v>55</v>
      </c>
      <c r="F46" s="1" t="s">
        <v>103</v>
      </c>
      <c r="G46" s="12"/>
      <c r="H46" s="62">
        <f>SUM(H47:H48)</f>
        <v>1124.1000000000001</v>
      </c>
      <c r="I46" s="62">
        <f>SUM(I47:I48)</f>
        <v>1124.1000000000001</v>
      </c>
      <c r="J46" s="188">
        <f>SUM(J47:J48)</f>
        <v>1124.1000000000001</v>
      </c>
    </row>
    <row r="47" spans="1:10" ht="54">
      <c r="A47" s="26"/>
      <c r="B47" s="92" t="s">
        <v>201</v>
      </c>
      <c r="C47" s="21" t="s">
        <v>59</v>
      </c>
      <c r="D47" s="21" t="s">
        <v>54</v>
      </c>
      <c r="E47" s="21" t="s">
        <v>55</v>
      </c>
      <c r="F47" s="21" t="s">
        <v>103</v>
      </c>
      <c r="G47" s="21" t="s">
        <v>191</v>
      </c>
      <c r="H47" s="68">
        <v>1053.7</v>
      </c>
      <c r="I47" s="68">
        <v>1053.7</v>
      </c>
      <c r="J47" s="99">
        <v>1053.7</v>
      </c>
    </row>
    <row r="48" spans="1:10" ht="36">
      <c r="A48" s="26"/>
      <c r="B48" s="93" t="s">
        <v>199</v>
      </c>
      <c r="C48" s="9" t="s">
        <v>59</v>
      </c>
      <c r="D48" s="9" t="s">
        <v>54</v>
      </c>
      <c r="E48" s="9" t="s">
        <v>55</v>
      </c>
      <c r="F48" s="9" t="s">
        <v>103</v>
      </c>
      <c r="G48" s="9" t="s">
        <v>192</v>
      </c>
      <c r="H48" s="70">
        <v>70.4</v>
      </c>
      <c r="I48" s="70">
        <v>70.4</v>
      </c>
      <c r="J48" s="13">
        <v>70.4</v>
      </c>
    </row>
    <row r="49" spans="1:10" ht="37.5">
      <c r="A49" s="26"/>
      <c r="B49" s="108" t="s">
        <v>118</v>
      </c>
      <c r="C49" s="11" t="s">
        <v>59</v>
      </c>
      <c r="D49" s="11" t="s">
        <v>54</v>
      </c>
      <c r="E49" s="1" t="s">
        <v>55</v>
      </c>
      <c r="F49" s="1" t="s">
        <v>208</v>
      </c>
      <c r="G49" s="12"/>
      <c r="H49" s="62">
        <f>SUM(H50:H51)</f>
        <v>15349.400000000001</v>
      </c>
      <c r="I49" s="62">
        <f>SUM(I50:I51)</f>
        <v>15349.400000000001</v>
      </c>
      <c r="J49" s="188">
        <f>SUM(J50:J51)</f>
        <v>15349.400000000001</v>
      </c>
    </row>
    <row r="50" spans="1:10" ht="54">
      <c r="A50" s="26"/>
      <c r="B50" s="92" t="s">
        <v>201</v>
      </c>
      <c r="C50" s="21" t="s">
        <v>59</v>
      </c>
      <c r="D50" s="21" t="s">
        <v>54</v>
      </c>
      <c r="E50" s="21" t="s">
        <v>55</v>
      </c>
      <c r="F50" s="21" t="s">
        <v>208</v>
      </c>
      <c r="G50" s="21" t="s">
        <v>191</v>
      </c>
      <c r="H50" s="68">
        <v>12802.7</v>
      </c>
      <c r="I50" s="68">
        <v>12802.7</v>
      </c>
      <c r="J50" s="99">
        <v>12802.7</v>
      </c>
    </row>
    <row r="51" spans="1:10" ht="36">
      <c r="A51" s="26"/>
      <c r="B51" s="93" t="s">
        <v>199</v>
      </c>
      <c r="C51" s="9" t="s">
        <v>59</v>
      </c>
      <c r="D51" s="9" t="s">
        <v>54</v>
      </c>
      <c r="E51" s="9" t="s">
        <v>55</v>
      </c>
      <c r="F51" s="9" t="s">
        <v>208</v>
      </c>
      <c r="G51" s="9" t="s">
        <v>192</v>
      </c>
      <c r="H51" s="70">
        <v>2546.7</v>
      </c>
      <c r="I51" s="70">
        <v>2546.7</v>
      </c>
      <c r="J51" s="13">
        <v>2546.7</v>
      </c>
    </row>
    <row r="52" spans="1:10" ht="18.75">
      <c r="A52" s="26"/>
      <c r="B52" s="95" t="s">
        <v>282</v>
      </c>
      <c r="C52" s="11" t="s">
        <v>59</v>
      </c>
      <c r="D52" s="11" t="s">
        <v>54</v>
      </c>
      <c r="E52" s="1" t="s">
        <v>55</v>
      </c>
      <c r="F52" s="1" t="s">
        <v>104</v>
      </c>
      <c r="G52" s="12"/>
      <c r="H52" s="62">
        <f>SUM(H53:H54)</f>
        <v>310</v>
      </c>
      <c r="I52" s="62">
        <f>SUM(I53:I54)</f>
        <v>310</v>
      </c>
      <c r="J52" s="188">
        <f>SUM(J53:J54)</f>
        <v>310</v>
      </c>
    </row>
    <row r="53" spans="1:10" ht="54">
      <c r="A53" s="26"/>
      <c r="B53" s="92" t="s">
        <v>201</v>
      </c>
      <c r="C53" s="21" t="s">
        <v>59</v>
      </c>
      <c r="D53" s="21" t="s">
        <v>54</v>
      </c>
      <c r="E53" s="21" t="s">
        <v>55</v>
      </c>
      <c r="F53" s="21" t="s">
        <v>104</v>
      </c>
      <c r="G53" s="21" t="s">
        <v>191</v>
      </c>
      <c r="H53" s="68">
        <v>301</v>
      </c>
      <c r="I53" s="68">
        <v>301</v>
      </c>
      <c r="J53" s="99">
        <v>301</v>
      </c>
    </row>
    <row r="54" spans="1:10" ht="36">
      <c r="A54" s="26"/>
      <c r="B54" s="93" t="s">
        <v>199</v>
      </c>
      <c r="C54" s="9" t="s">
        <v>59</v>
      </c>
      <c r="D54" s="9" t="s">
        <v>54</v>
      </c>
      <c r="E54" s="9" t="s">
        <v>55</v>
      </c>
      <c r="F54" s="9" t="s">
        <v>104</v>
      </c>
      <c r="G54" s="9" t="s">
        <v>192</v>
      </c>
      <c r="H54" s="70">
        <v>9</v>
      </c>
      <c r="I54" s="70">
        <v>9</v>
      </c>
      <c r="J54" s="13">
        <v>9</v>
      </c>
    </row>
    <row r="55" spans="1:10" ht="18.75">
      <c r="A55" s="26"/>
      <c r="B55" s="95" t="s">
        <v>283</v>
      </c>
      <c r="C55" s="11" t="s">
        <v>59</v>
      </c>
      <c r="D55" s="11" t="s">
        <v>54</v>
      </c>
      <c r="E55" s="1" t="s">
        <v>55</v>
      </c>
      <c r="F55" s="1" t="s">
        <v>105</v>
      </c>
      <c r="G55" s="12"/>
      <c r="H55" s="62">
        <f>H56</f>
        <v>748.1</v>
      </c>
      <c r="I55" s="62">
        <f>I56</f>
        <v>748.1</v>
      </c>
      <c r="J55" s="188">
        <f>J56</f>
        <v>748.1</v>
      </c>
    </row>
    <row r="56" spans="1:10" ht="54">
      <c r="A56" s="26"/>
      <c r="B56" s="93" t="s">
        <v>201</v>
      </c>
      <c r="C56" s="9" t="s">
        <v>59</v>
      </c>
      <c r="D56" s="9" t="s">
        <v>54</v>
      </c>
      <c r="E56" s="9" t="s">
        <v>55</v>
      </c>
      <c r="F56" s="9" t="s">
        <v>105</v>
      </c>
      <c r="G56" s="9" t="s">
        <v>191</v>
      </c>
      <c r="H56" s="70">
        <f>748.2-0.1</f>
        <v>748.1</v>
      </c>
      <c r="I56" s="70">
        <f>748.2-0.1</f>
        <v>748.1</v>
      </c>
      <c r="J56" s="13">
        <f>748.2-0.1</f>
        <v>748.1</v>
      </c>
    </row>
    <row r="57" spans="1:10" ht="37.5">
      <c r="A57" s="26"/>
      <c r="B57" s="95" t="s">
        <v>284</v>
      </c>
      <c r="C57" s="11" t="s">
        <v>59</v>
      </c>
      <c r="D57" s="11" t="s">
        <v>54</v>
      </c>
      <c r="E57" s="1" t="s">
        <v>55</v>
      </c>
      <c r="F57" s="1" t="s">
        <v>106</v>
      </c>
      <c r="G57" s="12"/>
      <c r="H57" s="62">
        <f>SUM(H58:H59)</f>
        <v>514.6</v>
      </c>
      <c r="I57" s="62">
        <f>SUM(I58:I59)</f>
        <v>621.6</v>
      </c>
      <c r="J57" s="188">
        <f>SUM(J58:J59)</f>
        <v>621.6</v>
      </c>
    </row>
    <row r="58" spans="1:10" ht="54">
      <c r="A58" s="26"/>
      <c r="B58" s="92" t="s">
        <v>201</v>
      </c>
      <c r="C58" s="21" t="s">
        <v>59</v>
      </c>
      <c r="D58" s="21" t="s">
        <v>54</v>
      </c>
      <c r="E58" s="21" t="s">
        <v>55</v>
      </c>
      <c r="F58" s="21" t="s">
        <v>106</v>
      </c>
      <c r="G58" s="21" t="s">
        <v>191</v>
      </c>
      <c r="H58" s="68">
        <f>565.1-97.3</f>
        <v>467.8</v>
      </c>
      <c r="I58" s="68">
        <v>565.1</v>
      </c>
      <c r="J58" s="99">
        <v>565.1</v>
      </c>
    </row>
    <row r="59" spans="1:10" ht="36">
      <c r="A59" s="26"/>
      <c r="B59" s="93" t="s">
        <v>199</v>
      </c>
      <c r="C59" s="9" t="s">
        <v>59</v>
      </c>
      <c r="D59" s="9" t="s">
        <v>54</v>
      </c>
      <c r="E59" s="9" t="s">
        <v>55</v>
      </c>
      <c r="F59" s="9" t="s">
        <v>106</v>
      </c>
      <c r="G59" s="9" t="s">
        <v>192</v>
      </c>
      <c r="H59" s="70">
        <f>56.5-9.7</f>
        <v>46.8</v>
      </c>
      <c r="I59" s="70">
        <v>56.5</v>
      </c>
      <c r="J59" s="13">
        <v>56.5</v>
      </c>
    </row>
    <row r="60" spans="1:10" ht="18.75">
      <c r="A60" s="26"/>
      <c r="B60" s="116" t="s">
        <v>183</v>
      </c>
      <c r="C60" s="14" t="s">
        <v>59</v>
      </c>
      <c r="D60" s="14" t="s">
        <v>54</v>
      </c>
      <c r="E60" s="14" t="s">
        <v>56</v>
      </c>
      <c r="F60" s="14"/>
      <c r="G60" s="15"/>
      <c r="H60" s="63">
        <f aca="true" t="shared" si="2" ref="H60:J64">H61</f>
        <v>46.800000000000004</v>
      </c>
      <c r="I60" s="63">
        <f t="shared" si="2"/>
        <v>48.7</v>
      </c>
      <c r="J60" s="246">
        <f t="shared" si="2"/>
        <v>216.9</v>
      </c>
    </row>
    <row r="61" spans="1:10" ht="18.75">
      <c r="A61" s="26"/>
      <c r="B61" s="97" t="s">
        <v>26</v>
      </c>
      <c r="C61" s="14" t="s">
        <v>59</v>
      </c>
      <c r="D61" s="14" t="s">
        <v>54</v>
      </c>
      <c r="E61" s="14" t="s">
        <v>56</v>
      </c>
      <c r="F61" s="14" t="s">
        <v>88</v>
      </c>
      <c r="G61" s="24"/>
      <c r="H61" s="189">
        <f t="shared" si="2"/>
        <v>46.800000000000004</v>
      </c>
      <c r="I61" s="189">
        <f t="shared" si="2"/>
        <v>48.7</v>
      </c>
      <c r="J61" s="247">
        <f t="shared" si="2"/>
        <v>216.9</v>
      </c>
    </row>
    <row r="62" spans="1:10" ht="18.75">
      <c r="A62" s="26"/>
      <c r="B62" s="115" t="s">
        <v>35</v>
      </c>
      <c r="C62" s="14" t="s">
        <v>59</v>
      </c>
      <c r="D62" s="31" t="s">
        <v>54</v>
      </c>
      <c r="E62" s="31" t="s">
        <v>56</v>
      </c>
      <c r="F62" s="32" t="s">
        <v>89</v>
      </c>
      <c r="G62" s="24"/>
      <c r="H62" s="189">
        <f t="shared" si="2"/>
        <v>46.800000000000004</v>
      </c>
      <c r="I62" s="189">
        <f t="shared" si="2"/>
        <v>48.7</v>
      </c>
      <c r="J62" s="247">
        <f t="shared" si="2"/>
        <v>216.9</v>
      </c>
    </row>
    <row r="63" spans="1:10" ht="18.75">
      <c r="A63" s="26"/>
      <c r="B63" s="116" t="s">
        <v>35</v>
      </c>
      <c r="C63" s="14" t="s">
        <v>59</v>
      </c>
      <c r="D63" s="31" t="s">
        <v>54</v>
      </c>
      <c r="E63" s="31" t="s">
        <v>56</v>
      </c>
      <c r="F63" s="32" t="s">
        <v>90</v>
      </c>
      <c r="G63" s="24"/>
      <c r="H63" s="189">
        <f t="shared" si="2"/>
        <v>46.800000000000004</v>
      </c>
      <c r="I63" s="189">
        <f t="shared" si="2"/>
        <v>48.7</v>
      </c>
      <c r="J63" s="247">
        <f t="shared" si="2"/>
        <v>216.9</v>
      </c>
    </row>
    <row r="64" spans="1:10" ht="56.25">
      <c r="A64" s="26"/>
      <c r="B64" s="97" t="s">
        <v>184</v>
      </c>
      <c r="C64" s="31" t="s">
        <v>59</v>
      </c>
      <c r="D64" s="31" t="s">
        <v>54</v>
      </c>
      <c r="E64" s="31" t="s">
        <v>56</v>
      </c>
      <c r="F64" s="32" t="s">
        <v>185</v>
      </c>
      <c r="G64" s="19"/>
      <c r="H64" s="190">
        <f t="shared" si="2"/>
        <v>46.800000000000004</v>
      </c>
      <c r="I64" s="190">
        <f t="shared" si="2"/>
        <v>48.7</v>
      </c>
      <c r="J64" s="248">
        <f t="shared" si="2"/>
        <v>216.9</v>
      </c>
    </row>
    <row r="65" spans="1:10" ht="36">
      <c r="A65" s="26"/>
      <c r="B65" s="191" t="s">
        <v>199</v>
      </c>
      <c r="C65" s="34" t="s">
        <v>59</v>
      </c>
      <c r="D65" s="34" t="s">
        <v>54</v>
      </c>
      <c r="E65" s="34" t="s">
        <v>56</v>
      </c>
      <c r="F65" s="34" t="s">
        <v>185</v>
      </c>
      <c r="G65" s="24" t="s">
        <v>192</v>
      </c>
      <c r="H65" s="207">
        <f>16.5-2.9+33.2</f>
        <v>46.800000000000004</v>
      </c>
      <c r="I65" s="207">
        <f>11.8+36.9</f>
        <v>48.7</v>
      </c>
      <c r="J65" s="249">
        <v>216.9</v>
      </c>
    </row>
    <row r="66" spans="1:11" ht="18.75">
      <c r="A66" s="26"/>
      <c r="B66" s="116" t="s">
        <v>21</v>
      </c>
      <c r="C66" s="14" t="s">
        <v>59</v>
      </c>
      <c r="D66" s="14" t="s">
        <v>54</v>
      </c>
      <c r="E66" s="14" t="s">
        <v>100</v>
      </c>
      <c r="F66" s="14"/>
      <c r="G66" s="14"/>
      <c r="H66" s="71">
        <f>H89+H67+H72+H79+H84</f>
        <v>185756.1</v>
      </c>
      <c r="I66" s="71">
        <f>I89+I67+I72+I79+I84</f>
        <v>200625.9</v>
      </c>
      <c r="J66" s="250">
        <f>J89+J67+J72+J79+J84</f>
        <v>153787</v>
      </c>
      <c r="K66" s="204"/>
    </row>
    <row r="67" spans="1:10" ht="37.5">
      <c r="A67" s="26"/>
      <c r="B67" s="116" t="s">
        <v>207</v>
      </c>
      <c r="C67" s="3" t="s">
        <v>59</v>
      </c>
      <c r="D67" s="3" t="s">
        <v>54</v>
      </c>
      <c r="E67" s="4" t="s">
        <v>100</v>
      </c>
      <c r="F67" s="4" t="s">
        <v>291</v>
      </c>
      <c r="G67" s="15"/>
      <c r="H67" s="63">
        <f aca="true" t="shared" si="3" ref="H67:J70">H68</f>
        <v>2633.2</v>
      </c>
      <c r="I67" s="63">
        <f t="shared" si="3"/>
        <v>2636.7</v>
      </c>
      <c r="J67" s="246">
        <f t="shared" si="3"/>
        <v>2640.6</v>
      </c>
    </row>
    <row r="68" spans="1:10" ht="18.75">
      <c r="A68" s="26"/>
      <c r="B68" s="115" t="s">
        <v>294</v>
      </c>
      <c r="C68" s="16" t="s">
        <v>59</v>
      </c>
      <c r="D68" s="16" t="s">
        <v>54</v>
      </c>
      <c r="E68" s="17" t="s">
        <v>100</v>
      </c>
      <c r="F68" s="17" t="s">
        <v>292</v>
      </c>
      <c r="G68" s="18"/>
      <c r="H68" s="61">
        <f t="shared" si="3"/>
        <v>2633.2</v>
      </c>
      <c r="I68" s="61">
        <f t="shared" si="3"/>
        <v>2636.7</v>
      </c>
      <c r="J68" s="251">
        <f t="shared" si="3"/>
        <v>2640.6</v>
      </c>
    </row>
    <row r="69" spans="1:10" ht="56.25">
      <c r="A69" s="26"/>
      <c r="B69" s="115" t="s">
        <v>296</v>
      </c>
      <c r="C69" s="16" t="s">
        <v>59</v>
      </c>
      <c r="D69" s="16" t="s">
        <v>54</v>
      </c>
      <c r="E69" s="17" t="s">
        <v>100</v>
      </c>
      <c r="F69" s="17" t="s">
        <v>295</v>
      </c>
      <c r="G69" s="18"/>
      <c r="H69" s="61">
        <f t="shared" si="3"/>
        <v>2633.2</v>
      </c>
      <c r="I69" s="61">
        <f t="shared" si="3"/>
        <v>2636.7</v>
      </c>
      <c r="J69" s="251">
        <f t="shared" si="3"/>
        <v>2640.6</v>
      </c>
    </row>
    <row r="70" spans="1:10" ht="37.5">
      <c r="A70" s="26"/>
      <c r="B70" s="117" t="s">
        <v>297</v>
      </c>
      <c r="C70" s="16" t="s">
        <v>59</v>
      </c>
      <c r="D70" s="16" t="s">
        <v>54</v>
      </c>
      <c r="E70" s="17" t="s">
        <v>100</v>
      </c>
      <c r="F70" s="17" t="s">
        <v>293</v>
      </c>
      <c r="G70" s="18"/>
      <c r="H70" s="76">
        <f t="shared" si="3"/>
        <v>2633.2</v>
      </c>
      <c r="I70" s="76">
        <f t="shared" si="3"/>
        <v>2636.7</v>
      </c>
      <c r="J70" s="252">
        <f t="shared" si="3"/>
        <v>2640.6</v>
      </c>
    </row>
    <row r="71" spans="1:10" ht="36">
      <c r="A71" s="26"/>
      <c r="B71" s="103" t="s">
        <v>204</v>
      </c>
      <c r="C71" s="8" t="s">
        <v>59</v>
      </c>
      <c r="D71" s="8" t="s">
        <v>54</v>
      </c>
      <c r="E71" s="8" t="s">
        <v>100</v>
      </c>
      <c r="F71" s="8" t="s">
        <v>293</v>
      </c>
      <c r="G71" s="8" t="s">
        <v>196</v>
      </c>
      <c r="H71" s="64">
        <v>2633.2</v>
      </c>
      <c r="I71" s="64">
        <v>2636.7</v>
      </c>
      <c r="J71" s="253">
        <v>2640.6</v>
      </c>
    </row>
    <row r="72" spans="1:10" ht="37.5">
      <c r="A72" s="26"/>
      <c r="B72" s="116" t="s">
        <v>584</v>
      </c>
      <c r="C72" s="3" t="s">
        <v>59</v>
      </c>
      <c r="D72" s="3" t="s">
        <v>54</v>
      </c>
      <c r="E72" s="4" t="s">
        <v>100</v>
      </c>
      <c r="F72" s="4" t="s">
        <v>285</v>
      </c>
      <c r="G72" s="4"/>
      <c r="H72" s="63">
        <f aca="true" t="shared" si="4" ref="H72:J73">H73</f>
        <v>1457</v>
      </c>
      <c r="I72" s="63">
        <f t="shared" si="4"/>
        <v>1457</v>
      </c>
      <c r="J72" s="246">
        <f t="shared" si="4"/>
        <v>1457</v>
      </c>
    </row>
    <row r="73" spans="1:10" ht="18.75">
      <c r="A73" s="26"/>
      <c r="B73" s="116" t="s">
        <v>286</v>
      </c>
      <c r="C73" s="22" t="s">
        <v>59</v>
      </c>
      <c r="D73" s="22" t="s">
        <v>54</v>
      </c>
      <c r="E73" s="23" t="s">
        <v>100</v>
      </c>
      <c r="F73" s="23" t="s">
        <v>287</v>
      </c>
      <c r="G73" s="28"/>
      <c r="H73" s="63">
        <f t="shared" si="4"/>
        <v>1457</v>
      </c>
      <c r="I73" s="63">
        <f t="shared" si="4"/>
        <v>1457</v>
      </c>
      <c r="J73" s="246">
        <f t="shared" si="4"/>
        <v>1457</v>
      </c>
    </row>
    <row r="74" spans="1:10" ht="56.25">
      <c r="A74" s="26"/>
      <c r="B74" s="95" t="s">
        <v>670</v>
      </c>
      <c r="C74" s="11" t="s">
        <v>59</v>
      </c>
      <c r="D74" s="11" t="s">
        <v>54</v>
      </c>
      <c r="E74" s="1" t="s">
        <v>100</v>
      </c>
      <c r="F74" s="1" t="s">
        <v>288</v>
      </c>
      <c r="G74" s="12"/>
      <c r="H74" s="61">
        <f>H75+H77</f>
        <v>1457</v>
      </c>
      <c r="I74" s="61">
        <f>I75+I77</f>
        <v>1457</v>
      </c>
      <c r="J74" s="251">
        <f>J75+J77</f>
        <v>1457</v>
      </c>
    </row>
    <row r="75" spans="1:10" ht="93.75">
      <c r="A75" s="26"/>
      <c r="B75" s="108" t="s">
        <v>180</v>
      </c>
      <c r="C75" s="11" t="s">
        <v>59</v>
      </c>
      <c r="D75" s="11" t="s">
        <v>54</v>
      </c>
      <c r="E75" s="1" t="s">
        <v>100</v>
      </c>
      <c r="F75" s="1" t="s">
        <v>289</v>
      </c>
      <c r="G75" s="1"/>
      <c r="H75" s="61">
        <f>SUM(H76:H76)</f>
        <v>609.6</v>
      </c>
      <c r="I75" s="61">
        <f>SUM(I76:I76)</f>
        <v>609.6</v>
      </c>
      <c r="J75" s="251">
        <f>SUM(J76:J76)</f>
        <v>609.6</v>
      </c>
    </row>
    <row r="76" spans="1:10" ht="36">
      <c r="A76" s="26"/>
      <c r="B76" s="93" t="s">
        <v>204</v>
      </c>
      <c r="C76" s="9" t="s">
        <v>59</v>
      </c>
      <c r="D76" s="9" t="s">
        <v>54</v>
      </c>
      <c r="E76" s="9" t="s">
        <v>100</v>
      </c>
      <c r="F76" s="9" t="s">
        <v>289</v>
      </c>
      <c r="G76" s="9" t="s">
        <v>196</v>
      </c>
      <c r="H76" s="70">
        <f>554.2+55.4</f>
        <v>609.6</v>
      </c>
      <c r="I76" s="70">
        <f>554.2+55.4</f>
        <v>609.6</v>
      </c>
      <c r="J76" s="13">
        <f>554.2+55.4</f>
        <v>609.6</v>
      </c>
    </row>
    <row r="77" spans="1:10" ht="37.5">
      <c r="A77" s="26"/>
      <c r="B77" s="127" t="s">
        <v>632</v>
      </c>
      <c r="C77" s="11" t="s">
        <v>59</v>
      </c>
      <c r="D77" s="11" t="s">
        <v>54</v>
      </c>
      <c r="E77" s="1" t="s">
        <v>100</v>
      </c>
      <c r="F77" s="1" t="s">
        <v>290</v>
      </c>
      <c r="G77" s="1"/>
      <c r="H77" s="121">
        <f>H78</f>
        <v>847.4</v>
      </c>
      <c r="I77" s="121">
        <f>I78</f>
        <v>847.4</v>
      </c>
      <c r="J77" s="254">
        <f>J78</f>
        <v>847.4</v>
      </c>
    </row>
    <row r="78" spans="1:10" ht="36">
      <c r="A78" s="26"/>
      <c r="B78" s="93" t="s">
        <v>204</v>
      </c>
      <c r="C78" s="9" t="s">
        <v>59</v>
      </c>
      <c r="D78" s="9" t="s">
        <v>54</v>
      </c>
      <c r="E78" s="9" t="s">
        <v>100</v>
      </c>
      <c r="F78" s="9" t="s">
        <v>290</v>
      </c>
      <c r="G78" s="9" t="s">
        <v>196</v>
      </c>
      <c r="H78" s="74">
        <v>847.4</v>
      </c>
      <c r="I78" s="74">
        <v>847.4</v>
      </c>
      <c r="J78" s="197">
        <v>847.4</v>
      </c>
    </row>
    <row r="79" spans="1:10" ht="37.5">
      <c r="A79" s="26"/>
      <c r="B79" s="96" t="s">
        <v>32</v>
      </c>
      <c r="C79" s="3" t="s">
        <v>59</v>
      </c>
      <c r="D79" s="3" t="s">
        <v>54</v>
      </c>
      <c r="E79" s="4" t="s">
        <v>100</v>
      </c>
      <c r="F79" s="4" t="s">
        <v>417</v>
      </c>
      <c r="G79" s="28"/>
      <c r="H79" s="66">
        <f aca="true" t="shared" si="5" ref="H79:J82">H80</f>
        <v>12365.000000000002</v>
      </c>
      <c r="I79" s="66">
        <f t="shared" si="5"/>
        <v>46868.4</v>
      </c>
      <c r="J79" s="186">
        <f t="shared" si="5"/>
        <v>0</v>
      </c>
    </row>
    <row r="80" spans="1:10" ht="18.75">
      <c r="A80" s="26"/>
      <c r="B80" s="96" t="s">
        <v>286</v>
      </c>
      <c r="C80" s="3" t="s">
        <v>59</v>
      </c>
      <c r="D80" s="3" t="s">
        <v>54</v>
      </c>
      <c r="E80" s="4" t="s">
        <v>100</v>
      </c>
      <c r="F80" s="4" t="s">
        <v>418</v>
      </c>
      <c r="G80" s="28"/>
      <c r="H80" s="66">
        <f t="shared" si="5"/>
        <v>12365.000000000002</v>
      </c>
      <c r="I80" s="66">
        <f t="shared" si="5"/>
        <v>46868.4</v>
      </c>
      <c r="J80" s="186">
        <f t="shared" si="5"/>
        <v>0</v>
      </c>
    </row>
    <row r="81" spans="1:10" ht="37.5">
      <c r="A81" s="26"/>
      <c r="B81" s="116" t="s">
        <v>421</v>
      </c>
      <c r="C81" s="3" t="s">
        <v>59</v>
      </c>
      <c r="D81" s="3" t="s">
        <v>54</v>
      </c>
      <c r="E81" s="4" t="s">
        <v>100</v>
      </c>
      <c r="F81" s="4" t="s">
        <v>419</v>
      </c>
      <c r="G81" s="4"/>
      <c r="H81" s="63">
        <f t="shared" si="5"/>
        <v>12365.000000000002</v>
      </c>
      <c r="I81" s="63">
        <f t="shared" si="5"/>
        <v>46868.4</v>
      </c>
      <c r="J81" s="246">
        <f t="shared" si="5"/>
        <v>0</v>
      </c>
    </row>
    <row r="82" spans="1:10" ht="37.5">
      <c r="A82" s="26"/>
      <c r="B82" s="154" t="s">
        <v>217</v>
      </c>
      <c r="C82" s="155" t="s">
        <v>59</v>
      </c>
      <c r="D82" s="155" t="s">
        <v>54</v>
      </c>
      <c r="E82" s="156" t="s">
        <v>100</v>
      </c>
      <c r="F82" s="156" t="s">
        <v>420</v>
      </c>
      <c r="G82" s="156"/>
      <c r="H82" s="157">
        <f t="shared" si="5"/>
        <v>12365.000000000002</v>
      </c>
      <c r="I82" s="157">
        <f t="shared" si="5"/>
        <v>46868.4</v>
      </c>
      <c r="J82" s="255">
        <f t="shared" si="5"/>
        <v>0</v>
      </c>
    </row>
    <row r="83" spans="1:11" ht="36">
      <c r="A83" s="26"/>
      <c r="B83" s="106" t="s">
        <v>199</v>
      </c>
      <c r="C83" s="8" t="s">
        <v>59</v>
      </c>
      <c r="D83" s="8" t="s">
        <v>54</v>
      </c>
      <c r="E83" s="8" t="s">
        <v>100</v>
      </c>
      <c r="F83" s="8" t="s">
        <v>420</v>
      </c>
      <c r="G83" s="8" t="s">
        <v>192</v>
      </c>
      <c r="H83" s="64">
        <f>8110.1+3400.1+184.6+670.2</f>
        <v>12365.000000000002</v>
      </c>
      <c r="I83" s="64">
        <f>46868.4</f>
        <v>46868.4</v>
      </c>
      <c r="J83" s="253">
        <v>0</v>
      </c>
      <c r="K83" s="25">
        <v>0.1</v>
      </c>
    </row>
    <row r="84" spans="1:10" ht="18.75">
      <c r="A84" s="26"/>
      <c r="B84" s="96" t="s">
        <v>73</v>
      </c>
      <c r="C84" s="22" t="s">
        <v>59</v>
      </c>
      <c r="D84" s="22" t="s">
        <v>54</v>
      </c>
      <c r="E84" s="23" t="s">
        <v>100</v>
      </c>
      <c r="F84" s="23" t="s">
        <v>95</v>
      </c>
      <c r="G84" s="28"/>
      <c r="H84" s="66">
        <f>H85</f>
        <v>2322.2</v>
      </c>
      <c r="I84" s="66">
        <f>I85</f>
        <v>2151.6</v>
      </c>
      <c r="J84" s="186">
        <f>J85</f>
        <v>2023.8000000000002</v>
      </c>
    </row>
    <row r="85" spans="1:10" ht="37.5">
      <c r="A85" s="26"/>
      <c r="B85" s="96" t="s">
        <v>14</v>
      </c>
      <c r="C85" s="22" t="s">
        <v>59</v>
      </c>
      <c r="D85" s="22" t="s">
        <v>54</v>
      </c>
      <c r="E85" s="23" t="s">
        <v>100</v>
      </c>
      <c r="F85" s="23" t="s">
        <v>85</v>
      </c>
      <c r="G85" s="28"/>
      <c r="H85" s="66">
        <f aca="true" t="shared" si="6" ref="H85:J86">H86</f>
        <v>2322.2</v>
      </c>
      <c r="I85" s="66">
        <f t="shared" si="6"/>
        <v>2151.6</v>
      </c>
      <c r="J85" s="186">
        <f t="shared" si="6"/>
        <v>2023.8000000000002</v>
      </c>
    </row>
    <row r="86" spans="1:10" ht="18.75">
      <c r="A86" s="26"/>
      <c r="B86" s="96" t="s">
        <v>35</v>
      </c>
      <c r="C86" s="22" t="s">
        <v>59</v>
      </c>
      <c r="D86" s="22" t="s">
        <v>54</v>
      </c>
      <c r="E86" s="23" t="s">
        <v>100</v>
      </c>
      <c r="F86" s="23" t="s">
        <v>84</v>
      </c>
      <c r="G86" s="28"/>
      <c r="H86" s="66">
        <f t="shared" si="6"/>
        <v>2322.2</v>
      </c>
      <c r="I86" s="66">
        <f t="shared" si="6"/>
        <v>2151.6</v>
      </c>
      <c r="J86" s="186">
        <f t="shared" si="6"/>
        <v>2023.8000000000002</v>
      </c>
    </row>
    <row r="87" spans="1:10" ht="37.5">
      <c r="A87" s="26"/>
      <c r="B87" s="95" t="s">
        <v>298</v>
      </c>
      <c r="C87" s="11" t="s">
        <v>59</v>
      </c>
      <c r="D87" s="11" t="s">
        <v>54</v>
      </c>
      <c r="E87" s="1" t="s">
        <v>100</v>
      </c>
      <c r="F87" s="1" t="s">
        <v>666</v>
      </c>
      <c r="G87" s="12"/>
      <c r="H87" s="62">
        <f>SUM(H88:H88)</f>
        <v>2322.2</v>
      </c>
      <c r="I87" s="62">
        <f>SUM(I88:I88)</f>
        <v>2151.6</v>
      </c>
      <c r="J87" s="188">
        <f>SUM(J88:J88)</f>
        <v>2023.8000000000002</v>
      </c>
    </row>
    <row r="88" spans="1:10" ht="54">
      <c r="A88" s="26"/>
      <c r="B88" s="93" t="s">
        <v>201</v>
      </c>
      <c r="C88" s="9" t="s">
        <v>59</v>
      </c>
      <c r="D88" s="9" t="s">
        <v>54</v>
      </c>
      <c r="E88" s="9" t="s">
        <v>100</v>
      </c>
      <c r="F88" s="9" t="s">
        <v>666</v>
      </c>
      <c r="G88" s="9" t="s">
        <v>191</v>
      </c>
      <c r="H88" s="70">
        <f>2378.5-56.3</f>
        <v>2322.2</v>
      </c>
      <c r="I88" s="70">
        <f>2256.4-104.8</f>
        <v>2151.6</v>
      </c>
      <c r="J88" s="13">
        <f>2256.4-232.6</f>
        <v>2023.8000000000002</v>
      </c>
    </row>
    <row r="89" spans="1:10" ht="18.75">
      <c r="A89" s="26"/>
      <c r="B89" s="97" t="s">
        <v>26</v>
      </c>
      <c r="C89" s="14" t="s">
        <v>59</v>
      </c>
      <c r="D89" s="14" t="s">
        <v>54</v>
      </c>
      <c r="E89" s="14" t="s">
        <v>100</v>
      </c>
      <c r="F89" s="14" t="s">
        <v>88</v>
      </c>
      <c r="G89" s="14"/>
      <c r="H89" s="71">
        <f aca="true" t="shared" si="7" ref="H89:J90">H90</f>
        <v>166978.69999999998</v>
      </c>
      <c r="I89" s="71">
        <f t="shared" si="7"/>
        <v>147512.19999999998</v>
      </c>
      <c r="J89" s="250">
        <f t="shared" si="7"/>
        <v>147665.6</v>
      </c>
    </row>
    <row r="90" spans="1:10" ht="18.75">
      <c r="A90" s="26"/>
      <c r="B90" s="115" t="s">
        <v>35</v>
      </c>
      <c r="C90" s="14" t="s">
        <v>59</v>
      </c>
      <c r="D90" s="31" t="s">
        <v>54</v>
      </c>
      <c r="E90" s="31" t="s">
        <v>100</v>
      </c>
      <c r="F90" s="32" t="s">
        <v>89</v>
      </c>
      <c r="G90" s="32"/>
      <c r="H90" s="72">
        <f t="shared" si="7"/>
        <v>166978.69999999998</v>
      </c>
      <c r="I90" s="72">
        <f t="shared" si="7"/>
        <v>147512.19999999998</v>
      </c>
      <c r="J90" s="256">
        <f t="shared" si="7"/>
        <v>147665.6</v>
      </c>
    </row>
    <row r="91" spans="1:10" ht="18.75">
      <c r="A91" s="26"/>
      <c r="B91" s="115" t="s">
        <v>35</v>
      </c>
      <c r="C91" s="14" t="s">
        <v>59</v>
      </c>
      <c r="D91" s="31" t="s">
        <v>54</v>
      </c>
      <c r="E91" s="31" t="s">
        <v>100</v>
      </c>
      <c r="F91" s="32" t="s">
        <v>90</v>
      </c>
      <c r="G91" s="32"/>
      <c r="H91" s="72">
        <f>H97+H99+H105+H103+H92+H101</f>
        <v>166978.69999999998</v>
      </c>
      <c r="I91" s="72">
        <f>I97+I99+I105+I103+I92+I101</f>
        <v>147512.19999999998</v>
      </c>
      <c r="J91" s="256">
        <f>J97+J99+J105+J103+J92+J101</f>
        <v>147665.6</v>
      </c>
    </row>
    <row r="92" spans="1:10" ht="37.5">
      <c r="A92" s="26"/>
      <c r="B92" s="95" t="s">
        <v>297</v>
      </c>
      <c r="C92" s="48" t="s">
        <v>59</v>
      </c>
      <c r="D92" s="48" t="s">
        <v>54</v>
      </c>
      <c r="E92" s="48" t="s">
        <v>100</v>
      </c>
      <c r="F92" s="48" t="s">
        <v>413</v>
      </c>
      <c r="G92" s="56"/>
      <c r="H92" s="84">
        <f>H93+H94+H96+H95</f>
        <v>151415.59999999998</v>
      </c>
      <c r="I92" s="84">
        <f>I93+I94+I96+I95</f>
        <v>131744.4</v>
      </c>
      <c r="J92" s="84">
        <f>J93+J94+J96+J95</f>
        <v>131744.4</v>
      </c>
    </row>
    <row r="93" spans="1:10" ht="54">
      <c r="A93" s="26"/>
      <c r="B93" s="166" t="s">
        <v>201</v>
      </c>
      <c r="C93" s="12" t="s">
        <v>59</v>
      </c>
      <c r="D93" s="12" t="s">
        <v>54</v>
      </c>
      <c r="E93" s="12" t="s">
        <v>100</v>
      </c>
      <c r="F93" s="12" t="s">
        <v>413</v>
      </c>
      <c r="G93" s="12" t="s">
        <v>191</v>
      </c>
      <c r="H93" s="168">
        <f>95508.4+10124.7-5.1</f>
        <v>105627.99999999999</v>
      </c>
      <c r="I93" s="168">
        <f>95508.4-0.1</f>
        <v>95508.29999999999</v>
      </c>
      <c r="J93" s="258">
        <f>95508.4-0.1</f>
        <v>95508.29999999999</v>
      </c>
    </row>
    <row r="94" spans="1:10" ht="36">
      <c r="A94" s="26"/>
      <c r="B94" s="102" t="s">
        <v>199</v>
      </c>
      <c r="C94" s="20" t="s">
        <v>59</v>
      </c>
      <c r="D94" s="20" t="s">
        <v>54</v>
      </c>
      <c r="E94" s="20" t="s">
        <v>100</v>
      </c>
      <c r="F94" s="20" t="s">
        <v>413</v>
      </c>
      <c r="G94" s="20" t="s">
        <v>192</v>
      </c>
      <c r="H94" s="82">
        <f>43298.2-12+27.6+313.5+934.1+5799-5810</f>
        <v>44550.399999999994</v>
      </c>
      <c r="I94" s="82">
        <f>35226+0.1</f>
        <v>35226.1</v>
      </c>
      <c r="J94" s="259">
        <f>35237.9-12+0.2-0.2+0.2</f>
        <v>35226.1</v>
      </c>
    </row>
    <row r="95" spans="1:10" ht="18">
      <c r="A95" s="26"/>
      <c r="B95" s="147" t="s">
        <v>205</v>
      </c>
      <c r="C95" s="55" t="s">
        <v>59</v>
      </c>
      <c r="D95" s="55" t="s">
        <v>54</v>
      </c>
      <c r="E95" s="55" t="s">
        <v>100</v>
      </c>
      <c r="F95" s="55" t="s">
        <v>413</v>
      </c>
      <c r="G95" s="55" t="s">
        <v>193</v>
      </c>
      <c r="H95" s="89">
        <v>5.1</v>
      </c>
      <c r="I95" s="89">
        <v>0</v>
      </c>
      <c r="J95" s="274">
        <v>0</v>
      </c>
    </row>
    <row r="96" spans="1:10" ht="18">
      <c r="A96" s="26"/>
      <c r="B96" s="93" t="s">
        <v>200</v>
      </c>
      <c r="C96" s="9" t="s">
        <v>59</v>
      </c>
      <c r="D96" s="9" t="s">
        <v>54</v>
      </c>
      <c r="E96" s="9" t="s">
        <v>100</v>
      </c>
      <c r="F96" s="9" t="s">
        <v>413</v>
      </c>
      <c r="G96" s="9" t="s">
        <v>194</v>
      </c>
      <c r="H96" s="74">
        <f>1221+11.1</f>
        <v>1232.1</v>
      </c>
      <c r="I96" s="74">
        <v>1010</v>
      </c>
      <c r="J96" s="197">
        <v>1010</v>
      </c>
    </row>
    <row r="97" spans="1:10" ht="37.5">
      <c r="A97" s="26"/>
      <c r="B97" s="98" t="s">
        <v>594</v>
      </c>
      <c r="C97" s="33" t="s">
        <v>59</v>
      </c>
      <c r="D97" s="33" t="s">
        <v>54</v>
      </c>
      <c r="E97" s="33" t="s">
        <v>100</v>
      </c>
      <c r="F97" s="33" t="s">
        <v>107</v>
      </c>
      <c r="G97" s="47"/>
      <c r="H97" s="73">
        <f>H98</f>
        <v>206.90000000000003</v>
      </c>
      <c r="I97" s="73">
        <f>I98</f>
        <v>206.90000000000003</v>
      </c>
      <c r="J97" s="260">
        <f>J98</f>
        <v>206.90000000000003</v>
      </c>
    </row>
    <row r="98" spans="1:10" ht="18">
      <c r="A98" s="26"/>
      <c r="B98" s="106" t="s">
        <v>205</v>
      </c>
      <c r="C98" s="34" t="s">
        <v>59</v>
      </c>
      <c r="D98" s="34" t="s">
        <v>54</v>
      </c>
      <c r="E98" s="34" t="s">
        <v>100</v>
      </c>
      <c r="F98" s="34" t="s">
        <v>107</v>
      </c>
      <c r="G98" s="34" t="s">
        <v>193</v>
      </c>
      <c r="H98" s="74">
        <f>258.6-51.7</f>
        <v>206.90000000000003</v>
      </c>
      <c r="I98" s="74">
        <f>258.6-51.7</f>
        <v>206.90000000000003</v>
      </c>
      <c r="J98" s="197">
        <f>258.6-51.7</f>
        <v>206.90000000000003</v>
      </c>
    </row>
    <row r="99" spans="1:10" ht="56.25">
      <c r="A99" s="26"/>
      <c r="B99" s="97" t="s">
        <v>602</v>
      </c>
      <c r="C99" s="33" t="s">
        <v>59</v>
      </c>
      <c r="D99" s="33" t="s">
        <v>54</v>
      </c>
      <c r="E99" s="33" t="s">
        <v>100</v>
      </c>
      <c r="F99" s="33" t="s">
        <v>87</v>
      </c>
      <c r="G99" s="47"/>
      <c r="H99" s="73">
        <f>H100</f>
        <v>1150</v>
      </c>
      <c r="I99" s="73">
        <f>I100</f>
        <v>1150</v>
      </c>
      <c r="J99" s="260">
        <f>J100</f>
        <v>1150</v>
      </c>
    </row>
    <row r="100" spans="1:10" ht="18">
      <c r="A100" s="26"/>
      <c r="B100" s="106" t="s">
        <v>200</v>
      </c>
      <c r="C100" s="34" t="s">
        <v>59</v>
      </c>
      <c r="D100" s="34" t="s">
        <v>54</v>
      </c>
      <c r="E100" s="34" t="s">
        <v>100</v>
      </c>
      <c r="F100" s="34" t="s">
        <v>87</v>
      </c>
      <c r="G100" s="34" t="s">
        <v>194</v>
      </c>
      <c r="H100" s="74">
        <f>1000+150</f>
        <v>1150</v>
      </c>
      <c r="I100" s="74">
        <f>1000+150</f>
        <v>1150</v>
      </c>
      <c r="J100" s="197">
        <f>1000+150</f>
        <v>1150</v>
      </c>
    </row>
    <row r="101" spans="1:10" ht="18.75">
      <c r="A101" s="26"/>
      <c r="B101" s="115" t="s">
        <v>581</v>
      </c>
      <c r="C101" s="31" t="s">
        <v>59</v>
      </c>
      <c r="D101" s="31" t="s">
        <v>54</v>
      </c>
      <c r="E101" s="31" t="s">
        <v>100</v>
      </c>
      <c r="F101" s="31" t="s">
        <v>162</v>
      </c>
      <c r="G101" s="31"/>
      <c r="H101" s="62">
        <f>H102</f>
        <v>210</v>
      </c>
      <c r="I101" s="62">
        <f>I102</f>
        <v>210</v>
      </c>
      <c r="J101" s="188">
        <f>J102</f>
        <v>210</v>
      </c>
    </row>
    <row r="102" spans="1:10" ht="18">
      <c r="A102" s="26"/>
      <c r="B102" s="106" t="s">
        <v>200</v>
      </c>
      <c r="C102" s="8" t="s">
        <v>59</v>
      </c>
      <c r="D102" s="8" t="s">
        <v>54</v>
      </c>
      <c r="E102" s="8" t="s">
        <v>100</v>
      </c>
      <c r="F102" s="8" t="s">
        <v>162</v>
      </c>
      <c r="G102" s="8" t="s">
        <v>194</v>
      </c>
      <c r="H102" s="74">
        <v>210</v>
      </c>
      <c r="I102" s="74">
        <v>210</v>
      </c>
      <c r="J102" s="197">
        <v>210</v>
      </c>
    </row>
    <row r="103" spans="1:10" ht="37.5">
      <c r="A103" s="26"/>
      <c r="B103" s="97" t="s">
        <v>271</v>
      </c>
      <c r="C103" s="33" t="s">
        <v>59</v>
      </c>
      <c r="D103" s="33" t="s">
        <v>54</v>
      </c>
      <c r="E103" s="33" t="s">
        <v>100</v>
      </c>
      <c r="F103" s="33" t="s">
        <v>270</v>
      </c>
      <c r="G103" s="47"/>
      <c r="H103" s="73">
        <f>H104</f>
        <v>10000</v>
      </c>
      <c r="I103" s="73">
        <f>I104</f>
        <v>10000</v>
      </c>
      <c r="J103" s="260">
        <f>J104</f>
        <v>10000</v>
      </c>
    </row>
    <row r="104" spans="1:10" ht="18">
      <c r="A104" s="26"/>
      <c r="B104" s="106" t="s">
        <v>200</v>
      </c>
      <c r="C104" s="34" t="s">
        <v>59</v>
      </c>
      <c r="D104" s="34" t="s">
        <v>54</v>
      </c>
      <c r="E104" s="34" t="s">
        <v>100</v>
      </c>
      <c r="F104" s="34" t="s">
        <v>270</v>
      </c>
      <c r="G104" s="34" t="s">
        <v>194</v>
      </c>
      <c r="H104" s="74">
        <v>10000</v>
      </c>
      <c r="I104" s="74">
        <v>10000</v>
      </c>
      <c r="J104" s="197">
        <v>10000</v>
      </c>
    </row>
    <row r="105" spans="1:10" ht="37.5">
      <c r="A105" s="26"/>
      <c r="B105" s="117" t="s">
        <v>298</v>
      </c>
      <c r="C105" s="16" t="s">
        <v>59</v>
      </c>
      <c r="D105" s="16" t="s">
        <v>54</v>
      </c>
      <c r="E105" s="17" t="s">
        <v>100</v>
      </c>
      <c r="F105" s="17" t="s">
        <v>169</v>
      </c>
      <c r="G105" s="17"/>
      <c r="H105" s="61">
        <f>SUM(H106:H107)</f>
        <v>3996.2000000000007</v>
      </c>
      <c r="I105" s="61">
        <f>SUM(I106:I107)</f>
        <v>4200.900000000001</v>
      </c>
      <c r="J105" s="251">
        <f>SUM(J106:J107)</f>
        <v>4354.3</v>
      </c>
    </row>
    <row r="106" spans="1:10" ht="54">
      <c r="A106" s="26"/>
      <c r="B106" s="171" t="s">
        <v>201</v>
      </c>
      <c r="C106" s="19" t="s">
        <v>59</v>
      </c>
      <c r="D106" s="19" t="s">
        <v>54</v>
      </c>
      <c r="E106" s="19" t="s">
        <v>100</v>
      </c>
      <c r="F106" s="19" t="s">
        <v>169</v>
      </c>
      <c r="G106" s="19" t="s">
        <v>191</v>
      </c>
      <c r="H106" s="208">
        <f>3273.8+56.4+44.3</f>
        <v>3374.5000000000005</v>
      </c>
      <c r="I106" s="208">
        <f>3395.9+104.9</f>
        <v>3500.8</v>
      </c>
      <c r="J106" s="227">
        <v>3628.6</v>
      </c>
    </row>
    <row r="107" spans="1:10" ht="36">
      <c r="A107" s="26"/>
      <c r="B107" s="106" t="s">
        <v>199</v>
      </c>
      <c r="C107" s="8" t="s">
        <v>59</v>
      </c>
      <c r="D107" s="8" t="s">
        <v>54</v>
      </c>
      <c r="E107" s="8" t="s">
        <v>100</v>
      </c>
      <c r="F107" s="8" t="s">
        <v>169</v>
      </c>
      <c r="G107" s="8" t="s">
        <v>192</v>
      </c>
      <c r="H107" s="64">
        <f>654.8+11.2-44.3</f>
        <v>621.7</v>
      </c>
      <c r="I107" s="64">
        <f>679.2+21-0.1</f>
        <v>700.1</v>
      </c>
      <c r="J107" s="253">
        <v>725.7</v>
      </c>
    </row>
    <row r="108" spans="1:10" ht="18.75">
      <c r="A108" s="26"/>
      <c r="B108" s="153" t="s">
        <v>17</v>
      </c>
      <c r="C108" s="122" t="s">
        <v>59</v>
      </c>
      <c r="D108" s="122" t="s">
        <v>53</v>
      </c>
      <c r="E108" s="123"/>
      <c r="F108" s="123" t="s">
        <v>71</v>
      </c>
      <c r="G108" s="123" t="s">
        <v>37</v>
      </c>
      <c r="H108" s="78">
        <f>H109+H115</f>
        <v>10084.599999999999</v>
      </c>
      <c r="I108" s="78">
        <f>I109+I115</f>
        <v>1679.9</v>
      </c>
      <c r="J108" s="221">
        <f>J109+J115</f>
        <v>1029.9</v>
      </c>
    </row>
    <row r="109" spans="1:10" ht="18.75">
      <c r="A109" s="26"/>
      <c r="B109" s="96" t="s">
        <v>257</v>
      </c>
      <c r="C109" s="22" t="s">
        <v>59</v>
      </c>
      <c r="D109" s="22" t="s">
        <v>53</v>
      </c>
      <c r="E109" s="23" t="s">
        <v>27</v>
      </c>
      <c r="F109" s="23" t="s">
        <v>37</v>
      </c>
      <c r="G109" s="23" t="s">
        <v>37</v>
      </c>
      <c r="H109" s="66">
        <f aca="true" t="shared" si="8" ref="H109:J110">H110</f>
        <v>9192.3</v>
      </c>
      <c r="I109" s="66">
        <f t="shared" si="8"/>
        <v>650</v>
      </c>
      <c r="J109" s="186">
        <f t="shared" si="8"/>
        <v>0</v>
      </c>
    </row>
    <row r="110" spans="1:10" ht="75">
      <c r="A110" s="26"/>
      <c r="B110" s="96" t="s">
        <v>259</v>
      </c>
      <c r="C110" s="22" t="s">
        <v>59</v>
      </c>
      <c r="D110" s="22" t="s">
        <v>53</v>
      </c>
      <c r="E110" s="23" t="s">
        <v>27</v>
      </c>
      <c r="F110" s="23" t="s">
        <v>299</v>
      </c>
      <c r="G110" s="23"/>
      <c r="H110" s="66">
        <f>H111</f>
        <v>9192.3</v>
      </c>
      <c r="I110" s="66">
        <f t="shared" si="8"/>
        <v>650</v>
      </c>
      <c r="J110" s="186">
        <f t="shared" si="8"/>
        <v>0</v>
      </c>
    </row>
    <row r="111" spans="1:10" ht="18.75">
      <c r="A111" s="26"/>
      <c r="B111" s="95" t="s">
        <v>294</v>
      </c>
      <c r="C111" s="11" t="s">
        <v>59</v>
      </c>
      <c r="D111" s="11" t="s">
        <v>53</v>
      </c>
      <c r="E111" s="1" t="s">
        <v>27</v>
      </c>
      <c r="F111" s="1" t="s">
        <v>301</v>
      </c>
      <c r="G111" s="1"/>
      <c r="H111" s="62">
        <f aca="true" t="shared" si="9" ref="H111:J112">H112</f>
        <v>9192.3</v>
      </c>
      <c r="I111" s="62">
        <f t="shared" si="9"/>
        <v>650</v>
      </c>
      <c r="J111" s="188">
        <f t="shared" si="9"/>
        <v>0</v>
      </c>
    </row>
    <row r="112" spans="1:10" ht="56.25">
      <c r="A112" s="26"/>
      <c r="B112" s="95" t="s">
        <v>302</v>
      </c>
      <c r="C112" s="11" t="s">
        <v>59</v>
      </c>
      <c r="D112" s="11" t="s">
        <v>53</v>
      </c>
      <c r="E112" s="1" t="s">
        <v>27</v>
      </c>
      <c r="F112" s="1" t="s">
        <v>303</v>
      </c>
      <c r="G112" s="1"/>
      <c r="H112" s="62">
        <f t="shared" si="9"/>
        <v>9192.3</v>
      </c>
      <c r="I112" s="62">
        <f t="shared" si="9"/>
        <v>650</v>
      </c>
      <c r="J112" s="188">
        <f t="shared" si="9"/>
        <v>0</v>
      </c>
    </row>
    <row r="113" spans="1:10" ht="75">
      <c r="A113" s="26"/>
      <c r="B113" s="108" t="s">
        <v>300</v>
      </c>
      <c r="C113" s="11" t="s">
        <v>59</v>
      </c>
      <c r="D113" s="11" t="s">
        <v>53</v>
      </c>
      <c r="E113" s="1" t="s">
        <v>27</v>
      </c>
      <c r="F113" s="1" t="s">
        <v>673</v>
      </c>
      <c r="G113" s="1"/>
      <c r="H113" s="62">
        <f>SUM(H114:H114)</f>
        <v>9192.3</v>
      </c>
      <c r="I113" s="62">
        <f>SUM(I114:I114)</f>
        <v>650</v>
      </c>
      <c r="J113" s="188">
        <f>SUM(J114:J114)</f>
        <v>0</v>
      </c>
    </row>
    <row r="114" spans="1:10" ht="36">
      <c r="A114" s="26"/>
      <c r="B114" s="93" t="s">
        <v>199</v>
      </c>
      <c r="C114" s="9" t="s">
        <v>59</v>
      </c>
      <c r="D114" s="9" t="s">
        <v>53</v>
      </c>
      <c r="E114" s="9" t="s">
        <v>27</v>
      </c>
      <c r="F114" s="9" t="s">
        <v>673</v>
      </c>
      <c r="G114" s="9" t="s">
        <v>192</v>
      </c>
      <c r="H114" s="70">
        <f>650+8542.4-0.1</f>
        <v>9192.3</v>
      </c>
      <c r="I114" s="70">
        <v>650</v>
      </c>
      <c r="J114" s="13">
        <v>0</v>
      </c>
    </row>
    <row r="115" spans="1:11" ht="37.5">
      <c r="A115" s="26"/>
      <c r="B115" s="96" t="s">
        <v>258</v>
      </c>
      <c r="C115" s="22" t="s">
        <v>59</v>
      </c>
      <c r="D115" s="22" t="s">
        <v>53</v>
      </c>
      <c r="E115" s="23" t="s">
        <v>28</v>
      </c>
      <c r="F115" s="23" t="s">
        <v>37</v>
      </c>
      <c r="G115" s="23" t="s">
        <v>37</v>
      </c>
      <c r="H115" s="66">
        <f aca="true" t="shared" si="10" ref="H115:J117">H116</f>
        <v>892.3</v>
      </c>
      <c r="I115" s="66">
        <f t="shared" si="10"/>
        <v>1029.9</v>
      </c>
      <c r="J115" s="186">
        <f t="shared" si="10"/>
        <v>1029.9</v>
      </c>
      <c r="K115" s="204"/>
    </row>
    <row r="116" spans="1:10" ht="75">
      <c r="A116" s="26"/>
      <c r="B116" s="96" t="s">
        <v>259</v>
      </c>
      <c r="C116" s="22" t="s">
        <v>59</v>
      </c>
      <c r="D116" s="22" t="s">
        <v>53</v>
      </c>
      <c r="E116" s="23" t="s">
        <v>28</v>
      </c>
      <c r="F116" s="23" t="s">
        <v>299</v>
      </c>
      <c r="G116" s="23"/>
      <c r="H116" s="66">
        <f t="shared" si="10"/>
        <v>892.3</v>
      </c>
      <c r="I116" s="66">
        <f t="shared" si="10"/>
        <v>1029.9</v>
      </c>
      <c r="J116" s="186">
        <f t="shared" si="10"/>
        <v>1029.9</v>
      </c>
    </row>
    <row r="117" spans="1:10" ht="18.75">
      <c r="A117" s="26"/>
      <c r="B117" s="95" t="s">
        <v>294</v>
      </c>
      <c r="C117" s="22" t="s">
        <v>59</v>
      </c>
      <c r="D117" s="22" t="s">
        <v>53</v>
      </c>
      <c r="E117" s="23" t="s">
        <v>28</v>
      </c>
      <c r="F117" s="23" t="s">
        <v>301</v>
      </c>
      <c r="G117" s="1"/>
      <c r="H117" s="62">
        <f t="shared" si="10"/>
        <v>892.3</v>
      </c>
      <c r="I117" s="62">
        <f t="shared" si="10"/>
        <v>1029.9</v>
      </c>
      <c r="J117" s="188">
        <f t="shared" si="10"/>
        <v>1029.9</v>
      </c>
    </row>
    <row r="118" spans="1:10" ht="56.25">
      <c r="A118" s="26"/>
      <c r="B118" s="95" t="s">
        <v>302</v>
      </c>
      <c r="C118" s="11" t="s">
        <v>59</v>
      </c>
      <c r="D118" s="11" t="s">
        <v>53</v>
      </c>
      <c r="E118" s="1" t="s">
        <v>28</v>
      </c>
      <c r="F118" s="1" t="s">
        <v>303</v>
      </c>
      <c r="G118" s="1"/>
      <c r="H118" s="62">
        <f>H119+H121+H125+H123</f>
        <v>892.3</v>
      </c>
      <c r="I118" s="62">
        <f>I119+I121+I125+I123</f>
        <v>1029.9</v>
      </c>
      <c r="J118" s="188">
        <f>J119+J121+J125+J123</f>
        <v>1029.9</v>
      </c>
    </row>
    <row r="119" spans="1:10" ht="56.25">
      <c r="A119" s="26"/>
      <c r="B119" s="108" t="s">
        <v>305</v>
      </c>
      <c r="C119" s="11" t="s">
        <v>59</v>
      </c>
      <c r="D119" s="11" t="s">
        <v>53</v>
      </c>
      <c r="E119" s="1" t="s">
        <v>28</v>
      </c>
      <c r="F119" s="1" t="s">
        <v>304</v>
      </c>
      <c r="G119" s="1"/>
      <c r="H119" s="62">
        <f>H120</f>
        <v>330</v>
      </c>
      <c r="I119" s="62">
        <f>I120</f>
        <v>330</v>
      </c>
      <c r="J119" s="188">
        <f>J120</f>
        <v>330</v>
      </c>
    </row>
    <row r="120" spans="1:10" ht="36">
      <c r="A120" s="26"/>
      <c r="B120" s="93" t="s">
        <v>199</v>
      </c>
      <c r="C120" s="9" t="s">
        <v>59</v>
      </c>
      <c r="D120" s="9" t="s">
        <v>53</v>
      </c>
      <c r="E120" s="9" t="s">
        <v>28</v>
      </c>
      <c r="F120" s="9" t="s">
        <v>304</v>
      </c>
      <c r="G120" s="9" t="s">
        <v>192</v>
      </c>
      <c r="H120" s="70">
        <v>330</v>
      </c>
      <c r="I120" s="70">
        <v>330</v>
      </c>
      <c r="J120" s="13">
        <v>330</v>
      </c>
    </row>
    <row r="121" spans="1:10" ht="37.5">
      <c r="A121" s="26"/>
      <c r="B121" s="108" t="s">
        <v>251</v>
      </c>
      <c r="C121" s="11" t="s">
        <v>59</v>
      </c>
      <c r="D121" s="11" t="s">
        <v>53</v>
      </c>
      <c r="E121" s="1" t="s">
        <v>28</v>
      </c>
      <c r="F121" s="1" t="s">
        <v>306</v>
      </c>
      <c r="G121" s="1"/>
      <c r="H121" s="62">
        <f>SUM(H122:H122)</f>
        <v>28.100000000000023</v>
      </c>
      <c r="I121" s="62">
        <f>SUM(I122:I122)</f>
        <v>612.5</v>
      </c>
      <c r="J121" s="188">
        <f>SUM(J122:J122)</f>
        <v>612.5</v>
      </c>
    </row>
    <row r="122" spans="1:10" ht="36">
      <c r="A122" s="26"/>
      <c r="B122" s="93" t="s">
        <v>199</v>
      </c>
      <c r="C122" s="9" t="s">
        <v>59</v>
      </c>
      <c r="D122" s="9" t="s">
        <v>53</v>
      </c>
      <c r="E122" s="9" t="s">
        <v>28</v>
      </c>
      <c r="F122" s="9" t="s">
        <v>306</v>
      </c>
      <c r="G122" s="9" t="s">
        <v>192</v>
      </c>
      <c r="H122" s="70">
        <f>699.9-72.8-599</f>
        <v>28.100000000000023</v>
      </c>
      <c r="I122" s="70">
        <f>699.9-87.4</f>
        <v>612.5</v>
      </c>
      <c r="J122" s="13">
        <f>699.9-87.4</f>
        <v>612.5</v>
      </c>
    </row>
    <row r="123" spans="1:10" ht="37.5">
      <c r="A123" s="26"/>
      <c r="B123" s="98" t="s">
        <v>749</v>
      </c>
      <c r="C123" s="29" t="s">
        <v>59</v>
      </c>
      <c r="D123" s="29" t="s">
        <v>53</v>
      </c>
      <c r="E123" s="30" t="s">
        <v>28</v>
      </c>
      <c r="F123" s="30" t="s">
        <v>750</v>
      </c>
      <c r="G123" s="30"/>
      <c r="H123" s="65">
        <f>H124</f>
        <v>72.8</v>
      </c>
      <c r="I123" s="65">
        <f>I124</f>
        <v>87.4</v>
      </c>
      <c r="J123" s="100">
        <f>J124</f>
        <v>87.4</v>
      </c>
    </row>
    <row r="124" spans="1:10" ht="36">
      <c r="A124" s="26"/>
      <c r="B124" s="93" t="s">
        <v>199</v>
      </c>
      <c r="C124" s="9" t="s">
        <v>59</v>
      </c>
      <c r="D124" s="9" t="s">
        <v>53</v>
      </c>
      <c r="E124" s="9" t="s">
        <v>28</v>
      </c>
      <c r="F124" s="9" t="s">
        <v>750</v>
      </c>
      <c r="G124" s="9" t="s">
        <v>192</v>
      </c>
      <c r="H124" s="70">
        <v>72.8</v>
      </c>
      <c r="I124" s="70">
        <v>87.4</v>
      </c>
      <c r="J124" s="13">
        <v>87.4</v>
      </c>
    </row>
    <row r="125" spans="1:10" ht="56.25">
      <c r="A125" s="26"/>
      <c r="B125" s="108" t="s">
        <v>731</v>
      </c>
      <c r="C125" s="11" t="s">
        <v>59</v>
      </c>
      <c r="D125" s="11" t="s">
        <v>53</v>
      </c>
      <c r="E125" s="1" t="s">
        <v>28</v>
      </c>
      <c r="F125" s="1" t="s">
        <v>730</v>
      </c>
      <c r="G125" s="1"/>
      <c r="H125" s="62">
        <f>SUM(H126:H126)</f>
        <v>461.4</v>
      </c>
      <c r="I125" s="62">
        <f>SUM(I126:I126)</f>
        <v>0</v>
      </c>
      <c r="J125" s="188">
        <f>SUM(J126:J126)</f>
        <v>0</v>
      </c>
    </row>
    <row r="126" spans="1:10" ht="36">
      <c r="A126" s="26"/>
      <c r="B126" s="93" t="s">
        <v>199</v>
      </c>
      <c r="C126" s="9" t="s">
        <v>59</v>
      </c>
      <c r="D126" s="9" t="s">
        <v>53</v>
      </c>
      <c r="E126" s="9" t="s">
        <v>28</v>
      </c>
      <c r="F126" s="9" t="s">
        <v>730</v>
      </c>
      <c r="G126" s="9" t="s">
        <v>192</v>
      </c>
      <c r="H126" s="70">
        <f>40.1+139.6+281.7</f>
        <v>461.4</v>
      </c>
      <c r="I126" s="70">
        <v>0</v>
      </c>
      <c r="J126" s="13">
        <v>0</v>
      </c>
    </row>
    <row r="127" spans="1:10" ht="18.75">
      <c r="A127" s="26"/>
      <c r="B127" s="96" t="s">
        <v>16</v>
      </c>
      <c r="C127" s="22" t="s">
        <v>59</v>
      </c>
      <c r="D127" s="22" t="s">
        <v>55</v>
      </c>
      <c r="E127" s="23"/>
      <c r="F127" s="23"/>
      <c r="G127" s="28"/>
      <c r="H127" s="66">
        <f>H128+H152+H158+H175</f>
        <v>126201.49999999999</v>
      </c>
      <c r="I127" s="66">
        <f>I128+I152+I158+I175</f>
        <v>98709.7</v>
      </c>
      <c r="J127" s="186">
        <f>J128+J152+J158+J175</f>
        <v>98769.3</v>
      </c>
    </row>
    <row r="128" spans="1:10" ht="18.75">
      <c r="A128" s="26"/>
      <c r="B128" s="96" t="s">
        <v>41</v>
      </c>
      <c r="C128" s="22" t="s">
        <v>59</v>
      </c>
      <c r="D128" s="22" t="s">
        <v>55</v>
      </c>
      <c r="E128" s="23" t="s">
        <v>56</v>
      </c>
      <c r="F128" s="23"/>
      <c r="G128" s="28"/>
      <c r="H128" s="66">
        <f>H129+H147</f>
        <v>10862.4</v>
      </c>
      <c r="I128" s="66">
        <f>I129+I147</f>
        <v>10306.6</v>
      </c>
      <c r="J128" s="186">
        <f>J129+J147</f>
        <v>10356.6</v>
      </c>
    </row>
    <row r="129" spans="1:10" ht="37.5">
      <c r="A129" s="26"/>
      <c r="B129" s="96" t="s">
        <v>68</v>
      </c>
      <c r="C129" s="22" t="s">
        <v>59</v>
      </c>
      <c r="D129" s="22" t="s">
        <v>55</v>
      </c>
      <c r="E129" s="23" t="s">
        <v>56</v>
      </c>
      <c r="F129" s="23" t="s">
        <v>307</v>
      </c>
      <c r="G129" s="28"/>
      <c r="H129" s="66">
        <f>H130+H143</f>
        <v>9085.8</v>
      </c>
      <c r="I129" s="66">
        <f>I130+I143</f>
        <v>8637</v>
      </c>
      <c r="J129" s="186">
        <f>J130+J143</f>
        <v>8687</v>
      </c>
    </row>
    <row r="130" spans="1:10" ht="18.75">
      <c r="A130" s="26"/>
      <c r="B130" s="95" t="s">
        <v>294</v>
      </c>
      <c r="C130" s="22" t="s">
        <v>59</v>
      </c>
      <c r="D130" s="22" t="s">
        <v>55</v>
      </c>
      <c r="E130" s="23" t="s">
        <v>56</v>
      </c>
      <c r="F130" s="23" t="s">
        <v>308</v>
      </c>
      <c r="G130" s="28"/>
      <c r="H130" s="66">
        <f>H131+H134+H137+H140</f>
        <v>4585.8</v>
      </c>
      <c r="I130" s="66">
        <f>I131+I134+I137+I140</f>
        <v>4201</v>
      </c>
      <c r="J130" s="186">
        <f>J131+J134+J137+J140</f>
        <v>4201</v>
      </c>
    </row>
    <row r="131" spans="1:10" ht="56.25">
      <c r="A131" s="26"/>
      <c r="B131" s="96" t="s">
        <v>310</v>
      </c>
      <c r="C131" s="22" t="s">
        <v>59</v>
      </c>
      <c r="D131" s="22" t="s">
        <v>55</v>
      </c>
      <c r="E131" s="23" t="s">
        <v>56</v>
      </c>
      <c r="F131" s="23" t="s">
        <v>309</v>
      </c>
      <c r="G131" s="28"/>
      <c r="H131" s="66">
        <f aca="true" t="shared" si="11" ref="H131:J132">H132</f>
        <v>1768</v>
      </c>
      <c r="I131" s="66">
        <f t="shared" si="11"/>
        <v>1768</v>
      </c>
      <c r="J131" s="186">
        <f t="shared" si="11"/>
        <v>1768</v>
      </c>
    </row>
    <row r="132" spans="1:10" ht="37.5">
      <c r="A132" s="26"/>
      <c r="B132" s="108" t="s">
        <v>178</v>
      </c>
      <c r="C132" s="11" t="s">
        <v>59</v>
      </c>
      <c r="D132" s="11" t="s">
        <v>55</v>
      </c>
      <c r="E132" s="1" t="s">
        <v>56</v>
      </c>
      <c r="F132" s="1" t="s">
        <v>311</v>
      </c>
      <c r="G132" s="12"/>
      <c r="H132" s="62">
        <f t="shared" si="11"/>
        <v>1768</v>
      </c>
      <c r="I132" s="62">
        <f t="shared" si="11"/>
        <v>1768</v>
      </c>
      <c r="J132" s="188">
        <f t="shared" si="11"/>
        <v>1768</v>
      </c>
    </row>
    <row r="133" spans="1:10" ht="18">
      <c r="A133" s="26"/>
      <c r="B133" s="103" t="s">
        <v>200</v>
      </c>
      <c r="C133" s="8" t="s">
        <v>59</v>
      </c>
      <c r="D133" s="8" t="s">
        <v>55</v>
      </c>
      <c r="E133" s="8" t="s">
        <v>56</v>
      </c>
      <c r="F133" s="8" t="s">
        <v>311</v>
      </c>
      <c r="G133" s="8" t="s">
        <v>194</v>
      </c>
      <c r="H133" s="70">
        <f>1418+350</f>
        <v>1768</v>
      </c>
      <c r="I133" s="70">
        <f>1418+350</f>
        <v>1768</v>
      </c>
      <c r="J133" s="13">
        <f>1418+350</f>
        <v>1768</v>
      </c>
    </row>
    <row r="134" spans="1:10" ht="37.5">
      <c r="A134" s="26"/>
      <c r="B134" s="95" t="s">
        <v>315</v>
      </c>
      <c r="C134" s="11" t="s">
        <v>59</v>
      </c>
      <c r="D134" s="11" t="s">
        <v>55</v>
      </c>
      <c r="E134" s="1" t="s">
        <v>56</v>
      </c>
      <c r="F134" s="1" t="s">
        <v>313</v>
      </c>
      <c r="G134" s="12"/>
      <c r="H134" s="62">
        <f aca="true" t="shared" si="12" ref="H134:J135">H135</f>
        <v>742.8</v>
      </c>
      <c r="I134" s="62">
        <f t="shared" si="12"/>
        <v>358</v>
      </c>
      <c r="J134" s="188">
        <f t="shared" si="12"/>
        <v>358</v>
      </c>
    </row>
    <row r="135" spans="1:10" ht="18.75">
      <c r="A135" s="26"/>
      <c r="B135" s="108" t="s">
        <v>256</v>
      </c>
      <c r="C135" s="11" t="s">
        <v>59</v>
      </c>
      <c r="D135" s="11" t="s">
        <v>55</v>
      </c>
      <c r="E135" s="1" t="s">
        <v>56</v>
      </c>
      <c r="F135" s="1" t="s">
        <v>314</v>
      </c>
      <c r="G135" s="12"/>
      <c r="H135" s="62">
        <f t="shared" si="12"/>
        <v>742.8</v>
      </c>
      <c r="I135" s="62">
        <f t="shared" si="12"/>
        <v>358</v>
      </c>
      <c r="J135" s="188">
        <f t="shared" si="12"/>
        <v>358</v>
      </c>
    </row>
    <row r="136" spans="1:10" ht="36">
      <c r="A136" s="26"/>
      <c r="B136" s="107" t="s">
        <v>199</v>
      </c>
      <c r="C136" s="9" t="s">
        <v>59</v>
      </c>
      <c r="D136" s="9" t="s">
        <v>55</v>
      </c>
      <c r="E136" s="9" t="s">
        <v>56</v>
      </c>
      <c r="F136" s="9" t="s">
        <v>314</v>
      </c>
      <c r="G136" s="9" t="s">
        <v>192</v>
      </c>
      <c r="H136" s="70">
        <f>358+222+162.8</f>
        <v>742.8</v>
      </c>
      <c r="I136" s="70">
        <v>358</v>
      </c>
      <c r="J136" s="13">
        <v>358</v>
      </c>
    </row>
    <row r="137" spans="1:10" ht="37.5">
      <c r="A137" s="26"/>
      <c r="B137" s="95" t="s">
        <v>318</v>
      </c>
      <c r="C137" s="11" t="s">
        <v>59</v>
      </c>
      <c r="D137" s="11" t="s">
        <v>55</v>
      </c>
      <c r="E137" s="1" t="s">
        <v>56</v>
      </c>
      <c r="F137" s="1" t="s">
        <v>316</v>
      </c>
      <c r="G137" s="12"/>
      <c r="H137" s="62">
        <f aca="true" t="shared" si="13" ref="H137:J141">H138</f>
        <v>1739</v>
      </c>
      <c r="I137" s="62">
        <f t="shared" si="13"/>
        <v>1739</v>
      </c>
      <c r="J137" s="188">
        <f t="shared" si="13"/>
        <v>1739</v>
      </c>
    </row>
    <row r="138" spans="1:10" ht="56.25">
      <c r="A138" s="26"/>
      <c r="B138" s="117" t="s">
        <v>182</v>
      </c>
      <c r="C138" s="16" t="s">
        <v>59</v>
      </c>
      <c r="D138" s="16" t="s">
        <v>55</v>
      </c>
      <c r="E138" s="17" t="s">
        <v>56</v>
      </c>
      <c r="F138" s="17" t="s">
        <v>317</v>
      </c>
      <c r="G138" s="18"/>
      <c r="H138" s="62">
        <f t="shared" si="13"/>
        <v>1739</v>
      </c>
      <c r="I138" s="62">
        <f t="shared" si="13"/>
        <v>1739</v>
      </c>
      <c r="J138" s="188">
        <f t="shared" si="13"/>
        <v>1739</v>
      </c>
    </row>
    <row r="139" spans="1:10" ht="18">
      <c r="A139" s="26"/>
      <c r="B139" s="103" t="s">
        <v>200</v>
      </c>
      <c r="C139" s="8" t="s">
        <v>59</v>
      </c>
      <c r="D139" s="8" t="s">
        <v>55</v>
      </c>
      <c r="E139" s="8" t="s">
        <v>56</v>
      </c>
      <c r="F139" s="8" t="s">
        <v>317</v>
      </c>
      <c r="G139" s="8" t="s">
        <v>194</v>
      </c>
      <c r="H139" s="70">
        <f>1339+400</f>
        <v>1739</v>
      </c>
      <c r="I139" s="70">
        <f>1339+400</f>
        <v>1739</v>
      </c>
      <c r="J139" s="13">
        <f>1339+400</f>
        <v>1739</v>
      </c>
    </row>
    <row r="140" spans="1:10" ht="56.25">
      <c r="A140" s="26"/>
      <c r="B140" s="95" t="s">
        <v>570</v>
      </c>
      <c r="C140" s="11" t="s">
        <v>59</v>
      </c>
      <c r="D140" s="11" t="s">
        <v>55</v>
      </c>
      <c r="E140" s="1" t="s">
        <v>56</v>
      </c>
      <c r="F140" s="1" t="s">
        <v>571</v>
      </c>
      <c r="G140" s="12"/>
      <c r="H140" s="62">
        <f t="shared" si="13"/>
        <v>336</v>
      </c>
      <c r="I140" s="62">
        <f t="shared" si="13"/>
        <v>336</v>
      </c>
      <c r="J140" s="188">
        <f t="shared" si="13"/>
        <v>336</v>
      </c>
    </row>
    <row r="141" spans="1:10" ht="18.75">
      <c r="A141" s="26"/>
      <c r="B141" s="117" t="s">
        <v>575</v>
      </c>
      <c r="C141" s="16" t="s">
        <v>59</v>
      </c>
      <c r="D141" s="16" t="s">
        <v>55</v>
      </c>
      <c r="E141" s="17" t="s">
        <v>56</v>
      </c>
      <c r="F141" s="17" t="s">
        <v>574</v>
      </c>
      <c r="G141" s="18"/>
      <c r="H141" s="62">
        <f t="shared" si="13"/>
        <v>336</v>
      </c>
      <c r="I141" s="62">
        <f t="shared" si="13"/>
        <v>336</v>
      </c>
      <c r="J141" s="188">
        <f t="shared" si="13"/>
        <v>336</v>
      </c>
    </row>
    <row r="142" spans="1:10" ht="36">
      <c r="A142" s="26"/>
      <c r="B142" s="107" t="s">
        <v>199</v>
      </c>
      <c r="C142" s="8" t="s">
        <v>59</v>
      </c>
      <c r="D142" s="8" t="s">
        <v>55</v>
      </c>
      <c r="E142" s="8" t="s">
        <v>56</v>
      </c>
      <c r="F142" s="8" t="s">
        <v>574</v>
      </c>
      <c r="G142" s="8" t="s">
        <v>192</v>
      </c>
      <c r="H142" s="70">
        <v>336</v>
      </c>
      <c r="I142" s="70">
        <v>336</v>
      </c>
      <c r="J142" s="13">
        <v>336</v>
      </c>
    </row>
    <row r="143" spans="1:10" ht="18.75">
      <c r="A143" s="26"/>
      <c r="B143" s="95" t="s">
        <v>618</v>
      </c>
      <c r="C143" s="22" t="s">
        <v>59</v>
      </c>
      <c r="D143" s="22" t="s">
        <v>55</v>
      </c>
      <c r="E143" s="23" t="s">
        <v>56</v>
      </c>
      <c r="F143" s="23" t="s">
        <v>633</v>
      </c>
      <c r="G143" s="28"/>
      <c r="H143" s="66">
        <f>H144</f>
        <v>4500</v>
      </c>
      <c r="I143" s="66">
        <f>I144</f>
        <v>4436</v>
      </c>
      <c r="J143" s="186">
        <f>J144</f>
        <v>4486</v>
      </c>
    </row>
    <row r="144" spans="1:10" ht="18.75">
      <c r="A144" s="26"/>
      <c r="B144" s="96" t="s">
        <v>667</v>
      </c>
      <c r="C144" s="22" t="s">
        <v>59</v>
      </c>
      <c r="D144" s="22" t="s">
        <v>55</v>
      </c>
      <c r="E144" s="23" t="s">
        <v>56</v>
      </c>
      <c r="F144" s="23" t="s">
        <v>668</v>
      </c>
      <c r="G144" s="28"/>
      <c r="H144" s="66">
        <f aca="true" t="shared" si="14" ref="H144:J145">H145</f>
        <v>4500</v>
      </c>
      <c r="I144" s="66">
        <f t="shared" si="14"/>
        <v>4436</v>
      </c>
      <c r="J144" s="186">
        <f t="shared" si="14"/>
        <v>4486</v>
      </c>
    </row>
    <row r="145" spans="1:10" ht="18.75">
      <c r="A145" s="26"/>
      <c r="B145" s="98" t="s">
        <v>312</v>
      </c>
      <c r="C145" s="178" t="s">
        <v>59</v>
      </c>
      <c r="D145" s="178" t="s">
        <v>55</v>
      </c>
      <c r="E145" s="178" t="s">
        <v>56</v>
      </c>
      <c r="F145" s="178" t="s">
        <v>669</v>
      </c>
      <c r="G145" s="178"/>
      <c r="H145" s="73">
        <f t="shared" si="14"/>
        <v>4500</v>
      </c>
      <c r="I145" s="73">
        <f t="shared" si="14"/>
        <v>4436</v>
      </c>
      <c r="J145" s="260">
        <f t="shared" si="14"/>
        <v>4486</v>
      </c>
    </row>
    <row r="146" spans="1:10" ht="18">
      <c r="A146" s="26"/>
      <c r="B146" s="93" t="s">
        <v>200</v>
      </c>
      <c r="C146" s="9" t="s">
        <v>59</v>
      </c>
      <c r="D146" s="9" t="s">
        <v>55</v>
      </c>
      <c r="E146" s="9" t="s">
        <v>56</v>
      </c>
      <c r="F146" s="9" t="s">
        <v>669</v>
      </c>
      <c r="G146" s="9" t="s">
        <v>194</v>
      </c>
      <c r="H146" s="70">
        <v>4500</v>
      </c>
      <c r="I146" s="70">
        <v>4436</v>
      </c>
      <c r="J146" s="13">
        <v>4486</v>
      </c>
    </row>
    <row r="147" spans="1:10" ht="18.75">
      <c r="A147" s="26"/>
      <c r="B147" s="98" t="s">
        <v>26</v>
      </c>
      <c r="C147" s="22" t="s">
        <v>59</v>
      </c>
      <c r="D147" s="22" t="s">
        <v>55</v>
      </c>
      <c r="E147" s="23" t="s">
        <v>56</v>
      </c>
      <c r="F147" s="23" t="s">
        <v>88</v>
      </c>
      <c r="G147" s="28"/>
      <c r="H147" s="66">
        <f aca="true" t="shared" si="15" ref="H147:J149">H148</f>
        <v>1776.6</v>
      </c>
      <c r="I147" s="66">
        <f t="shared" si="15"/>
        <v>1669.6</v>
      </c>
      <c r="J147" s="186">
        <f t="shared" si="15"/>
        <v>1669.6</v>
      </c>
    </row>
    <row r="148" spans="1:10" ht="18.75">
      <c r="A148" s="26"/>
      <c r="B148" s="96" t="s">
        <v>35</v>
      </c>
      <c r="C148" s="22" t="s">
        <v>59</v>
      </c>
      <c r="D148" s="22" t="s">
        <v>55</v>
      </c>
      <c r="E148" s="23" t="s">
        <v>56</v>
      </c>
      <c r="F148" s="23" t="s">
        <v>89</v>
      </c>
      <c r="G148" s="28"/>
      <c r="H148" s="66">
        <f t="shared" si="15"/>
        <v>1776.6</v>
      </c>
      <c r="I148" s="66">
        <f t="shared" si="15"/>
        <v>1669.6</v>
      </c>
      <c r="J148" s="186">
        <f t="shared" si="15"/>
        <v>1669.6</v>
      </c>
    </row>
    <row r="149" spans="1:10" ht="18.75">
      <c r="A149" s="26"/>
      <c r="B149" s="96" t="s">
        <v>35</v>
      </c>
      <c r="C149" s="22" t="s">
        <v>59</v>
      </c>
      <c r="D149" s="22" t="s">
        <v>55</v>
      </c>
      <c r="E149" s="23" t="s">
        <v>56</v>
      </c>
      <c r="F149" s="23" t="s">
        <v>90</v>
      </c>
      <c r="G149" s="28"/>
      <c r="H149" s="66">
        <f t="shared" si="15"/>
        <v>1776.6</v>
      </c>
      <c r="I149" s="66">
        <f t="shared" si="15"/>
        <v>1669.6</v>
      </c>
      <c r="J149" s="186">
        <f t="shared" si="15"/>
        <v>1669.6</v>
      </c>
    </row>
    <row r="150" spans="1:10" ht="37.5">
      <c r="A150" s="26"/>
      <c r="B150" s="127" t="s">
        <v>284</v>
      </c>
      <c r="C150" s="5" t="s">
        <v>59</v>
      </c>
      <c r="D150" s="5" t="s">
        <v>55</v>
      </c>
      <c r="E150" s="6" t="s">
        <v>56</v>
      </c>
      <c r="F150" s="6" t="s">
        <v>110</v>
      </c>
      <c r="G150" s="6"/>
      <c r="H150" s="77">
        <f>SUM(H151:H151)</f>
        <v>1776.6</v>
      </c>
      <c r="I150" s="77">
        <f>SUM(I151:I151)</f>
        <v>1669.6</v>
      </c>
      <c r="J150" s="223">
        <f>SUM(J151:J151)</f>
        <v>1669.6</v>
      </c>
    </row>
    <row r="151" spans="1:10" ht="36">
      <c r="A151" s="26"/>
      <c r="B151" s="93" t="s">
        <v>199</v>
      </c>
      <c r="C151" s="9" t="s">
        <v>59</v>
      </c>
      <c r="D151" s="9" t="s">
        <v>55</v>
      </c>
      <c r="E151" s="9" t="s">
        <v>56</v>
      </c>
      <c r="F151" s="9" t="s">
        <v>110</v>
      </c>
      <c r="G151" s="9" t="s">
        <v>192</v>
      </c>
      <c r="H151" s="70">
        <f>1669.6+107</f>
        <v>1776.6</v>
      </c>
      <c r="I151" s="70">
        <v>1669.6</v>
      </c>
      <c r="J151" s="13">
        <v>1669.6</v>
      </c>
    </row>
    <row r="152" spans="1:10" ht="18.75">
      <c r="A152" s="26"/>
      <c r="B152" s="134" t="s">
        <v>244</v>
      </c>
      <c r="C152" s="22" t="s">
        <v>59</v>
      </c>
      <c r="D152" s="22" t="s">
        <v>55</v>
      </c>
      <c r="E152" s="23" t="s">
        <v>58</v>
      </c>
      <c r="F152" s="10"/>
      <c r="G152" s="10"/>
      <c r="H152" s="78">
        <f aca="true" t="shared" si="16" ref="H152:J156">H153</f>
        <v>75736.4</v>
      </c>
      <c r="I152" s="78">
        <f t="shared" si="16"/>
        <v>75736.4</v>
      </c>
      <c r="J152" s="221">
        <f t="shared" si="16"/>
        <v>75736.4</v>
      </c>
    </row>
    <row r="153" spans="1:10" ht="93.75">
      <c r="A153" s="26"/>
      <c r="B153" s="96" t="s">
        <v>252</v>
      </c>
      <c r="C153" s="41" t="s">
        <v>59</v>
      </c>
      <c r="D153" s="41" t="s">
        <v>55</v>
      </c>
      <c r="E153" s="41" t="s">
        <v>58</v>
      </c>
      <c r="F153" s="23" t="s">
        <v>319</v>
      </c>
      <c r="G153" s="10"/>
      <c r="H153" s="78">
        <f t="shared" si="16"/>
        <v>75736.4</v>
      </c>
      <c r="I153" s="78">
        <f t="shared" si="16"/>
        <v>75736.4</v>
      </c>
      <c r="J153" s="221">
        <f t="shared" si="16"/>
        <v>75736.4</v>
      </c>
    </row>
    <row r="154" spans="1:10" ht="18.75">
      <c r="A154" s="26"/>
      <c r="B154" s="115" t="s">
        <v>294</v>
      </c>
      <c r="C154" s="14" t="s">
        <v>59</v>
      </c>
      <c r="D154" s="31" t="s">
        <v>55</v>
      </c>
      <c r="E154" s="31" t="s">
        <v>58</v>
      </c>
      <c r="F154" s="32" t="s">
        <v>320</v>
      </c>
      <c r="G154" s="24"/>
      <c r="H154" s="78">
        <f t="shared" si="16"/>
        <v>75736.4</v>
      </c>
      <c r="I154" s="78">
        <f t="shared" si="16"/>
        <v>75736.4</v>
      </c>
      <c r="J154" s="221">
        <f t="shared" si="16"/>
        <v>75736.4</v>
      </c>
    </row>
    <row r="155" spans="1:10" ht="56.25">
      <c r="A155" s="26"/>
      <c r="B155" s="115" t="s">
        <v>323</v>
      </c>
      <c r="C155" s="14" t="s">
        <v>59</v>
      </c>
      <c r="D155" s="31" t="s">
        <v>55</v>
      </c>
      <c r="E155" s="31" t="s">
        <v>58</v>
      </c>
      <c r="F155" s="32" t="s">
        <v>321</v>
      </c>
      <c r="G155" s="24"/>
      <c r="H155" s="78">
        <f t="shared" si="16"/>
        <v>75736.4</v>
      </c>
      <c r="I155" s="78">
        <f t="shared" si="16"/>
        <v>75736.4</v>
      </c>
      <c r="J155" s="221">
        <f t="shared" si="16"/>
        <v>75736.4</v>
      </c>
    </row>
    <row r="156" spans="1:10" ht="18.75">
      <c r="A156" s="26"/>
      <c r="B156" s="97" t="s">
        <v>245</v>
      </c>
      <c r="C156" s="31" t="s">
        <v>59</v>
      </c>
      <c r="D156" s="31" t="s">
        <v>55</v>
      </c>
      <c r="E156" s="31" t="s">
        <v>58</v>
      </c>
      <c r="F156" s="32" t="s">
        <v>322</v>
      </c>
      <c r="G156" s="37"/>
      <c r="H156" s="77">
        <f t="shared" si="16"/>
        <v>75736.4</v>
      </c>
      <c r="I156" s="77">
        <f t="shared" si="16"/>
        <v>75736.4</v>
      </c>
      <c r="J156" s="223">
        <f t="shared" si="16"/>
        <v>75736.4</v>
      </c>
    </row>
    <row r="157" spans="1:10" ht="36">
      <c r="A157" s="26"/>
      <c r="B157" s="103" t="s">
        <v>199</v>
      </c>
      <c r="C157" s="54" t="s">
        <v>59</v>
      </c>
      <c r="D157" s="54" t="s">
        <v>55</v>
      </c>
      <c r="E157" s="54" t="s">
        <v>58</v>
      </c>
      <c r="F157" s="34" t="s">
        <v>322</v>
      </c>
      <c r="G157" s="8" t="s">
        <v>192</v>
      </c>
      <c r="H157" s="70">
        <f>78411.7-2675.3</f>
        <v>75736.4</v>
      </c>
      <c r="I157" s="70">
        <f>78411.7-2675.3</f>
        <v>75736.4</v>
      </c>
      <c r="J157" s="13">
        <f>37506.1+38230.3</f>
        <v>75736.4</v>
      </c>
    </row>
    <row r="158" spans="1:11" ht="18.75">
      <c r="A158" s="26"/>
      <c r="B158" s="116" t="s">
        <v>0</v>
      </c>
      <c r="C158" s="3" t="s">
        <v>59</v>
      </c>
      <c r="D158" s="3" t="s">
        <v>55</v>
      </c>
      <c r="E158" s="4" t="s">
        <v>27</v>
      </c>
      <c r="F158" s="4"/>
      <c r="G158" s="15"/>
      <c r="H158" s="66">
        <f>H159+H168</f>
        <v>35621.4</v>
      </c>
      <c r="I158" s="66">
        <f>I159+I168</f>
        <v>8858.2</v>
      </c>
      <c r="J158" s="186">
        <f>J159+J168</f>
        <v>8858.2</v>
      </c>
      <c r="K158" s="204"/>
    </row>
    <row r="159" spans="1:10" ht="93.75">
      <c r="A159" s="26"/>
      <c r="B159" s="116" t="s">
        <v>252</v>
      </c>
      <c r="C159" s="3" t="s">
        <v>59</v>
      </c>
      <c r="D159" s="3" t="s">
        <v>55</v>
      </c>
      <c r="E159" s="4" t="s">
        <v>27</v>
      </c>
      <c r="F159" s="4" t="s">
        <v>319</v>
      </c>
      <c r="G159" s="15"/>
      <c r="H159" s="66">
        <f aca="true" t="shared" si="17" ref="H159:J160">H160</f>
        <v>28241.3</v>
      </c>
      <c r="I159" s="66">
        <f t="shared" si="17"/>
        <v>8858.2</v>
      </c>
      <c r="J159" s="186">
        <f t="shared" si="17"/>
        <v>8858.2</v>
      </c>
    </row>
    <row r="160" spans="1:10" ht="18.75">
      <c r="A160" s="26"/>
      <c r="B160" s="115" t="s">
        <v>294</v>
      </c>
      <c r="C160" s="14" t="s">
        <v>59</v>
      </c>
      <c r="D160" s="31" t="s">
        <v>55</v>
      </c>
      <c r="E160" s="31" t="s">
        <v>27</v>
      </c>
      <c r="F160" s="32" t="s">
        <v>320</v>
      </c>
      <c r="G160" s="18"/>
      <c r="H160" s="62">
        <f t="shared" si="17"/>
        <v>28241.3</v>
      </c>
      <c r="I160" s="62">
        <f t="shared" si="17"/>
        <v>8858.2</v>
      </c>
      <c r="J160" s="188">
        <f t="shared" si="17"/>
        <v>8858.2</v>
      </c>
    </row>
    <row r="161" spans="1:10" ht="37.5">
      <c r="A161" s="26"/>
      <c r="B161" s="115" t="s">
        <v>325</v>
      </c>
      <c r="C161" s="16" t="s">
        <v>59</v>
      </c>
      <c r="D161" s="16" t="s">
        <v>55</v>
      </c>
      <c r="E161" s="17" t="s">
        <v>27</v>
      </c>
      <c r="F161" s="17" t="s">
        <v>324</v>
      </c>
      <c r="G161" s="18"/>
      <c r="H161" s="62">
        <f>H166+H162+H164</f>
        <v>28241.3</v>
      </c>
      <c r="I161" s="62">
        <f>I166+I162+I164</f>
        <v>8858.2</v>
      </c>
      <c r="J161" s="188">
        <f>J166+J162+J164</f>
        <v>8858.2</v>
      </c>
    </row>
    <row r="162" spans="1:10" ht="18.75">
      <c r="A162" s="26"/>
      <c r="B162" s="115" t="s">
        <v>151</v>
      </c>
      <c r="C162" s="16" t="s">
        <v>59</v>
      </c>
      <c r="D162" s="16" t="s">
        <v>55</v>
      </c>
      <c r="E162" s="17" t="s">
        <v>27</v>
      </c>
      <c r="F162" s="17" t="s">
        <v>328</v>
      </c>
      <c r="G162" s="18"/>
      <c r="H162" s="62">
        <f aca="true" t="shared" si="18" ref="H162:J164">SUM(H163:H163)</f>
        <v>22704.399999999998</v>
      </c>
      <c r="I162" s="62">
        <f t="shared" si="18"/>
        <v>3590.3</v>
      </c>
      <c r="J162" s="188">
        <f t="shared" si="18"/>
        <v>3590.3</v>
      </c>
    </row>
    <row r="163" spans="1:10" ht="36">
      <c r="A163" s="26"/>
      <c r="B163" s="106" t="s">
        <v>199</v>
      </c>
      <c r="C163" s="8" t="s">
        <v>59</v>
      </c>
      <c r="D163" s="8" t="s">
        <v>55</v>
      </c>
      <c r="E163" s="8" t="s">
        <v>27</v>
      </c>
      <c r="F163" s="8" t="s">
        <v>328</v>
      </c>
      <c r="G163" s="8" t="s">
        <v>192</v>
      </c>
      <c r="H163" s="74">
        <f>915+2675.3+8100+1666.8+9347.3</f>
        <v>22704.399999999998</v>
      </c>
      <c r="I163" s="74">
        <f>915+2675.3</f>
        <v>3590.3</v>
      </c>
      <c r="J163" s="197">
        <f>915+2675.3</f>
        <v>3590.3</v>
      </c>
    </row>
    <row r="164" spans="1:10" ht="18.75">
      <c r="A164" s="26"/>
      <c r="B164" s="115" t="s">
        <v>216</v>
      </c>
      <c r="C164" s="16" t="s">
        <v>59</v>
      </c>
      <c r="D164" s="16" t="s">
        <v>55</v>
      </c>
      <c r="E164" s="17" t="s">
        <v>27</v>
      </c>
      <c r="F164" s="17" t="s">
        <v>327</v>
      </c>
      <c r="G164" s="18"/>
      <c r="H164" s="62">
        <f t="shared" si="18"/>
        <v>568</v>
      </c>
      <c r="I164" s="62">
        <f t="shared" si="18"/>
        <v>568</v>
      </c>
      <c r="J164" s="188">
        <f t="shared" si="18"/>
        <v>568</v>
      </c>
    </row>
    <row r="165" spans="1:10" ht="36">
      <c r="A165" s="26"/>
      <c r="B165" s="106" t="s">
        <v>199</v>
      </c>
      <c r="C165" s="8" t="s">
        <v>59</v>
      </c>
      <c r="D165" s="8" t="s">
        <v>55</v>
      </c>
      <c r="E165" s="8" t="s">
        <v>27</v>
      </c>
      <c r="F165" s="8" t="s">
        <v>327</v>
      </c>
      <c r="G165" s="8" t="s">
        <v>192</v>
      </c>
      <c r="H165" s="74">
        <v>568</v>
      </c>
      <c r="I165" s="74">
        <v>568</v>
      </c>
      <c r="J165" s="197">
        <v>568</v>
      </c>
    </row>
    <row r="166" spans="1:10" ht="37.5">
      <c r="A166" s="26"/>
      <c r="B166" s="117" t="s">
        <v>119</v>
      </c>
      <c r="C166" s="16" t="s">
        <v>59</v>
      </c>
      <c r="D166" s="16" t="s">
        <v>55</v>
      </c>
      <c r="E166" s="17" t="s">
        <v>27</v>
      </c>
      <c r="F166" s="17" t="s">
        <v>326</v>
      </c>
      <c r="G166" s="18"/>
      <c r="H166" s="62">
        <f>H167</f>
        <v>4968.900000000001</v>
      </c>
      <c r="I166" s="62">
        <f>I167</f>
        <v>4699.900000000001</v>
      </c>
      <c r="J166" s="188">
        <f>J167</f>
        <v>4699.900000000001</v>
      </c>
    </row>
    <row r="167" spans="1:10" ht="18">
      <c r="A167" s="26"/>
      <c r="B167" s="106" t="s">
        <v>197</v>
      </c>
      <c r="C167" s="8" t="s">
        <v>59</v>
      </c>
      <c r="D167" s="8" t="s">
        <v>55</v>
      </c>
      <c r="E167" s="8" t="s">
        <v>27</v>
      </c>
      <c r="F167" s="8" t="s">
        <v>326</v>
      </c>
      <c r="G167" s="8" t="s">
        <v>195</v>
      </c>
      <c r="H167" s="74">
        <f>4527.6+172.3+269</f>
        <v>4968.900000000001</v>
      </c>
      <c r="I167" s="74">
        <f>4527.6+172.3</f>
        <v>4699.900000000001</v>
      </c>
      <c r="J167" s="197">
        <f>4527.6+172.3</f>
        <v>4699.900000000001</v>
      </c>
    </row>
    <row r="168" spans="1:10" ht="18.75">
      <c r="A168" s="26"/>
      <c r="B168" s="116" t="s">
        <v>26</v>
      </c>
      <c r="C168" s="41" t="s">
        <v>59</v>
      </c>
      <c r="D168" s="41" t="s">
        <v>55</v>
      </c>
      <c r="E168" s="41" t="s">
        <v>27</v>
      </c>
      <c r="F168" s="48" t="s">
        <v>88</v>
      </c>
      <c r="G168" s="24"/>
      <c r="H168" s="165">
        <f aca="true" t="shared" si="19" ref="H168:J171">H169</f>
        <v>7380.1</v>
      </c>
      <c r="I168" s="165">
        <f t="shared" si="19"/>
        <v>0</v>
      </c>
      <c r="J168" s="261">
        <f t="shared" si="19"/>
        <v>0</v>
      </c>
    </row>
    <row r="169" spans="1:10" ht="18.75">
      <c r="A169" s="26"/>
      <c r="B169" s="115" t="s">
        <v>35</v>
      </c>
      <c r="C169" s="41" t="s">
        <v>59</v>
      </c>
      <c r="D169" s="41" t="s">
        <v>55</v>
      </c>
      <c r="E169" s="41" t="s">
        <v>27</v>
      </c>
      <c r="F169" s="41" t="s">
        <v>89</v>
      </c>
      <c r="G169" s="24"/>
      <c r="H169" s="165">
        <f t="shared" si="19"/>
        <v>7380.1</v>
      </c>
      <c r="I169" s="165">
        <f t="shared" si="19"/>
        <v>0</v>
      </c>
      <c r="J169" s="261">
        <f t="shared" si="19"/>
        <v>0</v>
      </c>
    </row>
    <row r="170" spans="1:10" ht="18.75">
      <c r="A170" s="26"/>
      <c r="B170" s="115" t="s">
        <v>35</v>
      </c>
      <c r="C170" s="41" t="s">
        <v>59</v>
      </c>
      <c r="D170" s="41" t="s">
        <v>55</v>
      </c>
      <c r="E170" s="41" t="s">
        <v>27</v>
      </c>
      <c r="F170" s="41" t="s">
        <v>90</v>
      </c>
      <c r="G170" s="24"/>
      <c r="H170" s="165">
        <f>H171+H173</f>
        <v>7380.1</v>
      </c>
      <c r="I170" s="165">
        <f>I171+I173</f>
        <v>0</v>
      </c>
      <c r="J170" s="261">
        <f>J171+J173</f>
        <v>0</v>
      </c>
    </row>
    <row r="171" spans="1:10" ht="37.5">
      <c r="A171" s="26"/>
      <c r="B171" s="98" t="s">
        <v>707</v>
      </c>
      <c r="C171" s="178" t="s">
        <v>59</v>
      </c>
      <c r="D171" s="178" t="s">
        <v>55</v>
      </c>
      <c r="E171" s="178" t="s">
        <v>27</v>
      </c>
      <c r="F171" s="178" t="s">
        <v>708</v>
      </c>
      <c r="G171" s="19"/>
      <c r="H171" s="179">
        <f t="shared" si="19"/>
        <v>4584.7</v>
      </c>
      <c r="I171" s="179">
        <f t="shared" si="19"/>
        <v>0</v>
      </c>
      <c r="J171" s="262">
        <f t="shared" si="19"/>
        <v>0</v>
      </c>
    </row>
    <row r="172" spans="1:10" ht="36">
      <c r="A172" s="26"/>
      <c r="B172" s="191" t="s">
        <v>199</v>
      </c>
      <c r="C172" s="209" t="s">
        <v>59</v>
      </c>
      <c r="D172" s="210" t="s">
        <v>55</v>
      </c>
      <c r="E172" s="210" t="s">
        <v>27</v>
      </c>
      <c r="F172" s="210" t="s">
        <v>708</v>
      </c>
      <c r="G172" s="24" t="s">
        <v>192</v>
      </c>
      <c r="H172" s="211">
        <v>4584.7</v>
      </c>
      <c r="I172" s="211">
        <v>0</v>
      </c>
      <c r="J172" s="230">
        <v>0</v>
      </c>
    </row>
    <row r="173" spans="1:10" ht="93.75">
      <c r="A173" s="26"/>
      <c r="B173" s="127" t="s">
        <v>605</v>
      </c>
      <c r="C173" s="231" t="s">
        <v>59</v>
      </c>
      <c r="D173" s="232" t="s">
        <v>55</v>
      </c>
      <c r="E173" s="232" t="s">
        <v>27</v>
      </c>
      <c r="F173" s="232" t="s">
        <v>606</v>
      </c>
      <c r="G173" s="37"/>
      <c r="H173" s="121">
        <f>H174</f>
        <v>2795.4</v>
      </c>
      <c r="I173" s="121">
        <f>I174</f>
        <v>0</v>
      </c>
      <c r="J173" s="254">
        <f>J174</f>
        <v>0</v>
      </c>
    </row>
    <row r="174" spans="1:10" ht="18">
      <c r="A174" s="26"/>
      <c r="B174" s="106" t="s">
        <v>197</v>
      </c>
      <c r="C174" s="233" t="s">
        <v>59</v>
      </c>
      <c r="D174" s="54" t="s">
        <v>55</v>
      </c>
      <c r="E174" s="54" t="s">
        <v>27</v>
      </c>
      <c r="F174" s="54" t="s">
        <v>606</v>
      </c>
      <c r="G174" s="8" t="s">
        <v>195</v>
      </c>
      <c r="H174" s="74">
        <v>2795.4</v>
      </c>
      <c r="I174" s="74">
        <v>0</v>
      </c>
      <c r="J174" s="197">
        <v>0</v>
      </c>
    </row>
    <row r="175" spans="1:11" ht="18.75">
      <c r="A175" s="26"/>
      <c r="B175" s="116" t="s">
        <v>19</v>
      </c>
      <c r="C175" s="3" t="s">
        <v>59</v>
      </c>
      <c r="D175" s="3" t="s">
        <v>55</v>
      </c>
      <c r="E175" s="4" t="s">
        <v>108</v>
      </c>
      <c r="F175" s="4"/>
      <c r="G175" s="15"/>
      <c r="H175" s="66">
        <f>H176+H193</f>
        <v>3981.3</v>
      </c>
      <c r="I175" s="66">
        <f>I176+I193</f>
        <v>3808.5</v>
      </c>
      <c r="J175" s="186">
        <f>J176+J193</f>
        <v>3818.1000000000004</v>
      </c>
      <c r="K175" s="204"/>
    </row>
    <row r="176" spans="1:10" ht="56.25">
      <c r="A176" s="26"/>
      <c r="B176" s="116" t="s">
        <v>161</v>
      </c>
      <c r="C176" s="3" t="s">
        <v>59</v>
      </c>
      <c r="D176" s="3" t="s">
        <v>55</v>
      </c>
      <c r="E176" s="4" t="s">
        <v>108</v>
      </c>
      <c r="F176" s="4" t="s">
        <v>329</v>
      </c>
      <c r="G176" s="15"/>
      <c r="H176" s="66">
        <f>H177</f>
        <v>3981.3</v>
      </c>
      <c r="I176" s="66">
        <f>I177</f>
        <v>3808.5</v>
      </c>
      <c r="J176" s="186">
        <f>J177</f>
        <v>3818.1000000000004</v>
      </c>
    </row>
    <row r="177" spans="1:10" ht="18.75">
      <c r="A177" s="26"/>
      <c r="B177" s="115" t="s">
        <v>294</v>
      </c>
      <c r="C177" s="16" t="s">
        <v>59</v>
      </c>
      <c r="D177" s="16" t="s">
        <v>55</v>
      </c>
      <c r="E177" s="17" t="s">
        <v>108</v>
      </c>
      <c r="F177" s="17" t="s">
        <v>330</v>
      </c>
      <c r="G177" s="18"/>
      <c r="H177" s="62">
        <f>H178+H185+H190</f>
        <v>3981.3</v>
      </c>
      <c r="I177" s="62">
        <f>I178+I185+I190</f>
        <v>3808.5</v>
      </c>
      <c r="J177" s="188">
        <f>J178+J185+J190</f>
        <v>3818.1000000000004</v>
      </c>
    </row>
    <row r="178" spans="1:10" ht="18.75">
      <c r="A178" s="26"/>
      <c r="B178" s="115" t="s">
        <v>332</v>
      </c>
      <c r="C178" s="16" t="s">
        <v>59</v>
      </c>
      <c r="D178" s="16" t="s">
        <v>55</v>
      </c>
      <c r="E178" s="17" t="s">
        <v>108</v>
      </c>
      <c r="F178" s="17" t="s">
        <v>331</v>
      </c>
      <c r="G178" s="18"/>
      <c r="H178" s="62">
        <f>H179+H183+H181</f>
        <v>643</v>
      </c>
      <c r="I178" s="62">
        <f>I179+I183+I181</f>
        <v>643</v>
      </c>
      <c r="J178" s="188">
        <f>J179+J183+J181</f>
        <v>643</v>
      </c>
    </row>
    <row r="179" spans="1:10" ht="171.75" customHeight="1">
      <c r="A179" s="26"/>
      <c r="B179" s="135" t="s">
        <v>576</v>
      </c>
      <c r="C179" s="35" t="s">
        <v>59</v>
      </c>
      <c r="D179" s="35" t="s">
        <v>55</v>
      </c>
      <c r="E179" s="36" t="s">
        <v>108</v>
      </c>
      <c r="F179" s="36" t="s">
        <v>333</v>
      </c>
      <c r="G179" s="19"/>
      <c r="H179" s="62">
        <f>H180</f>
        <v>253</v>
      </c>
      <c r="I179" s="62">
        <f>I180</f>
        <v>253</v>
      </c>
      <c r="J179" s="188">
        <f>J180</f>
        <v>253</v>
      </c>
    </row>
    <row r="180" spans="1:10" ht="36">
      <c r="A180" s="26"/>
      <c r="B180" s="103" t="s">
        <v>204</v>
      </c>
      <c r="C180" s="8" t="s">
        <v>59</v>
      </c>
      <c r="D180" s="8" t="s">
        <v>55</v>
      </c>
      <c r="E180" s="8" t="s">
        <v>108</v>
      </c>
      <c r="F180" s="8" t="s">
        <v>333</v>
      </c>
      <c r="G180" s="8" t="s">
        <v>196</v>
      </c>
      <c r="H180" s="74">
        <v>253</v>
      </c>
      <c r="I180" s="74">
        <v>253</v>
      </c>
      <c r="J180" s="197">
        <v>253</v>
      </c>
    </row>
    <row r="181" spans="1:10" ht="37.5">
      <c r="A181" s="26"/>
      <c r="B181" s="196" t="s">
        <v>709</v>
      </c>
      <c r="C181" s="16" t="s">
        <v>59</v>
      </c>
      <c r="D181" s="16" t="s">
        <v>55</v>
      </c>
      <c r="E181" s="17" t="s">
        <v>108</v>
      </c>
      <c r="F181" s="17" t="s">
        <v>710</v>
      </c>
      <c r="G181" s="37"/>
      <c r="H181" s="121">
        <f>H182</f>
        <v>390</v>
      </c>
      <c r="I181" s="121">
        <f>I182</f>
        <v>390</v>
      </c>
      <c r="J181" s="254">
        <f>J182</f>
        <v>390</v>
      </c>
    </row>
    <row r="182" spans="1:10" ht="36">
      <c r="A182" s="26"/>
      <c r="B182" s="103" t="s">
        <v>204</v>
      </c>
      <c r="C182" s="9" t="s">
        <v>59</v>
      </c>
      <c r="D182" s="9" t="s">
        <v>55</v>
      </c>
      <c r="E182" s="9" t="s">
        <v>108</v>
      </c>
      <c r="F182" s="9" t="s">
        <v>710</v>
      </c>
      <c r="G182" s="8" t="s">
        <v>196</v>
      </c>
      <c r="H182" s="74">
        <v>390</v>
      </c>
      <c r="I182" s="74">
        <v>390</v>
      </c>
      <c r="J182" s="197">
        <v>390</v>
      </c>
    </row>
    <row r="183" spans="1:10" ht="75">
      <c r="A183" s="26"/>
      <c r="B183" s="117" t="s">
        <v>249</v>
      </c>
      <c r="C183" s="16" t="s">
        <v>59</v>
      </c>
      <c r="D183" s="16" t="s">
        <v>55</v>
      </c>
      <c r="E183" s="17" t="s">
        <v>108</v>
      </c>
      <c r="F183" s="17" t="s">
        <v>671</v>
      </c>
      <c r="G183" s="18"/>
      <c r="H183" s="61">
        <f>SUM(H184:H184)</f>
        <v>0</v>
      </c>
      <c r="I183" s="61">
        <f>SUM(I184:I184)</f>
        <v>0</v>
      </c>
      <c r="J183" s="251">
        <f>SUM(J184:J184)</f>
        <v>0</v>
      </c>
    </row>
    <row r="184" spans="1:10" ht="36">
      <c r="A184" s="26"/>
      <c r="B184" s="103" t="s">
        <v>550</v>
      </c>
      <c r="C184" s="8" t="s">
        <v>59</v>
      </c>
      <c r="D184" s="8" t="s">
        <v>55</v>
      </c>
      <c r="E184" s="8" t="s">
        <v>108</v>
      </c>
      <c r="F184" s="8" t="s">
        <v>671</v>
      </c>
      <c r="G184" s="8" t="s">
        <v>196</v>
      </c>
      <c r="H184" s="75">
        <f>35.1+0.1-35.2</f>
        <v>0</v>
      </c>
      <c r="I184" s="181">
        <f>39.9-39.9</f>
        <v>0</v>
      </c>
      <c r="J184" s="263">
        <v>0</v>
      </c>
    </row>
    <row r="185" spans="1:10" ht="56.25">
      <c r="A185" s="26"/>
      <c r="B185" s="115" t="s">
        <v>336</v>
      </c>
      <c r="C185" s="16" t="s">
        <v>59</v>
      </c>
      <c r="D185" s="16" t="s">
        <v>55</v>
      </c>
      <c r="E185" s="17" t="s">
        <v>108</v>
      </c>
      <c r="F185" s="17" t="s">
        <v>334</v>
      </c>
      <c r="G185" s="18"/>
      <c r="H185" s="62">
        <f>H186+H188</f>
        <v>2018.3</v>
      </c>
      <c r="I185" s="62">
        <f>I186+I188</f>
        <v>2018.3</v>
      </c>
      <c r="J185" s="188">
        <f>J186+J188</f>
        <v>2018.3</v>
      </c>
    </row>
    <row r="186" spans="1:10" ht="67.5" customHeight="1">
      <c r="A186" s="26"/>
      <c r="B186" s="135" t="s">
        <v>577</v>
      </c>
      <c r="C186" s="35" t="s">
        <v>59</v>
      </c>
      <c r="D186" s="35" t="s">
        <v>55</v>
      </c>
      <c r="E186" s="36" t="s">
        <v>108</v>
      </c>
      <c r="F186" s="36" t="s">
        <v>335</v>
      </c>
      <c r="G186" s="19"/>
      <c r="H186" s="62">
        <f>H187</f>
        <v>1523.3</v>
      </c>
      <c r="I186" s="62">
        <f>I187</f>
        <v>1523.3</v>
      </c>
      <c r="J186" s="188">
        <f>J187</f>
        <v>1523.3</v>
      </c>
    </row>
    <row r="187" spans="1:10" ht="36">
      <c r="A187" s="26"/>
      <c r="B187" s="103" t="s">
        <v>550</v>
      </c>
      <c r="C187" s="8" t="s">
        <v>59</v>
      </c>
      <c r="D187" s="8" t="s">
        <v>55</v>
      </c>
      <c r="E187" s="8" t="s">
        <v>108</v>
      </c>
      <c r="F187" s="8" t="s">
        <v>335</v>
      </c>
      <c r="G187" s="8" t="s">
        <v>196</v>
      </c>
      <c r="H187" s="74">
        <f>442+1081.3</f>
        <v>1523.3</v>
      </c>
      <c r="I187" s="74">
        <f>442+1081.3</f>
        <v>1523.3</v>
      </c>
      <c r="J187" s="197">
        <f>442+1081.3</f>
        <v>1523.3</v>
      </c>
    </row>
    <row r="188" spans="1:10" ht="173.25" customHeight="1">
      <c r="A188" s="26"/>
      <c r="B188" s="135" t="s">
        <v>672</v>
      </c>
      <c r="C188" s="35" t="s">
        <v>59</v>
      </c>
      <c r="D188" s="35" t="s">
        <v>55</v>
      </c>
      <c r="E188" s="36" t="s">
        <v>108</v>
      </c>
      <c r="F188" s="36" t="s">
        <v>337</v>
      </c>
      <c r="G188" s="19"/>
      <c r="H188" s="62">
        <f>H189</f>
        <v>495</v>
      </c>
      <c r="I188" s="62">
        <f>I189</f>
        <v>495</v>
      </c>
      <c r="J188" s="188">
        <f>J189</f>
        <v>495</v>
      </c>
    </row>
    <row r="189" spans="1:10" ht="36">
      <c r="A189" s="26"/>
      <c r="B189" s="103" t="s">
        <v>204</v>
      </c>
      <c r="C189" s="8" t="s">
        <v>59</v>
      </c>
      <c r="D189" s="8" t="s">
        <v>55</v>
      </c>
      <c r="E189" s="8" t="s">
        <v>108</v>
      </c>
      <c r="F189" s="8" t="s">
        <v>337</v>
      </c>
      <c r="G189" s="8" t="s">
        <v>196</v>
      </c>
      <c r="H189" s="74">
        <v>495</v>
      </c>
      <c r="I189" s="74">
        <v>495</v>
      </c>
      <c r="J189" s="197">
        <v>495</v>
      </c>
    </row>
    <row r="190" spans="1:10" ht="37.5">
      <c r="A190" s="26"/>
      <c r="B190" s="115" t="s">
        <v>631</v>
      </c>
      <c r="C190" s="16" t="s">
        <v>59</v>
      </c>
      <c r="D190" s="16" t="s">
        <v>55</v>
      </c>
      <c r="E190" s="17" t="s">
        <v>108</v>
      </c>
      <c r="F190" s="17" t="s">
        <v>629</v>
      </c>
      <c r="G190" s="18"/>
      <c r="H190" s="62">
        <f>H191</f>
        <v>1320</v>
      </c>
      <c r="I190" s="62">
        <f>I191</f>
        <v>1147.2</v>
      </c>
      <c r="J190" s="188">
        <f>J191</f>
        <v>1156.8000000000002</v>
      </c>
    </row>
    <row r="191" spans="1:10" ht="93.75">
      <c r="A191" s="26"/>
      <c r="B191" s="117" t="s">
        <v>261</v>
      </c>
      <c r="C191" s="16" t="s">
        <v>59</v>
      </c>
      <c r="D191" s="16" t="s">
        <v>55</v>
      </c>
      <c r="E191" s="17" t="s">
        <v>108</v>
      </c>
      <c r="F191" s="17" t="s">
        <v>630</v>
      </c>
      <c r="G191" s="18"/>
      <c r="H191" s="76">
        <f>SUM(H192:H192)</f>
        <v>1320</v>
      </c>
      <c r="I191" s="76">
        <f>SUM(I192:I192)</f>
        <v>1147.2</v>
      </c>
      <c r="J191" s="252">
        <f>SUM(J192:J192)</f>
        <v>1156.8000000000002</v>
      </c>
    </row>
    <row r="192" spans="1:10" ht="18">
      <c r="A192" s="26"/>
      <c r="B192" s="103" t="s">
        <v>583</v>
      </c>
      <c r="C192" s="8" t="s">
        <v>59</v>
      </c>
      <c r="D192" s="8" t="s">
        <v>55</v>
      </c>
      <c r="E192" s="8" t="s">
        <v>108</v>
      </c>
      <c r="F192" s="8" t="s">
        <v>630</v>
      </c>
      <c r="G192" s="8" t="s">
        <v>194</v>
      </c>
      <c r="H192" s="75">
        <f>132+1188</f>
        <v>1320</v>
      </c>
      <c r="I192" s="181">
        <f>126.2+1021</f>
        <v>1147.2</v>
      </c>
      <c r="J192" s="263">
        <f>138.9+1018-0.1</f>
        <v>1156.8000000000002</v>
      </c>
    </row>
    <row r="193" spans="1:10" ht="18.75">
      <c r="A193" s="26"/>
      <c r="B193" s="114" t="s">
        <v>26</v>
      </c>
      <c r="C193" s="122" t="s">
        <v>59</v>
      </c>
      <c r="D193" s="122" t="s">
        <v>55</v>
      </c>
      <c r="E193" s="123" t="s">
        <v>108</v>
      </c>
      <c r="F193" s="123" t="s">
        <v>88</v>
      </c>
      <c r="G193" s="24"/>
      <c r="H193" s="165">
        <f aca="true" t="shared" si="20" ref="H193:J196">H194</f>
        <v>0</v>
      </c>
      <c r="I193" s="165">
        <f t="shared" si="20"/>
        <v>0</v>
      </c>
      <c r="J193" s="261">
        <f t="shared" si="20"/>
        <v>0</v>
      </c>
    </row>
    <row r="194" spans="1:10" ht="18.75">
      <c r="A194" s="26"/>
      <c r="B194" s="96" t="s">
        <v>35</v>
      </c>
      <c r="C194" s="22" t="s">
        <v>59</v>
      </c>
      <c r="D194" s="22" t="s">
        <v>55</v>
      </c>
      <c r="E194" s="23" t="s">
        <v>108</v>
      </c>
      <c r="F194" s="23" t="s">
        <v>89</v>
      </c>
      <c r="G194" s="24"/>
      <c r="H194" s="165">
        <f t="shared" si="20"/>
        <v>0</v>
      </c>
      <c r="I194" s="165">
        <f t="shared" si="20"/>
        <v>0</v>
      </c>
      <c r="J194" s="261">
        <f t="shared" si="20"/>
        <v>0</v>
      </c>
    </row>
    <row r="195" spans="1:10" ht="18.75">
      <c r="A195" s="26"/>
      <c r="B195" s="96" t="s">
        <v>35</v>
      </c>
      <c r="C195" s="22" t="s">
        <v>59</v>
      </c>
      <c r="D195" s="22" t="s">
        <v>55</v>
      </c>
      <c r="E195" s="23" t="s">
        <v>108</v>
      </c>
      <c r="F195" s="23" t="s">
        <v>90</v>
      </c>
      <c r="G195" s="24"/>
      <c r="H195" s="165">
        <f t="shared" si="20"/>
        <v>0</v>
      </c>
      <c r="I195" s="165">
        <f t="shared" si="20"/>
        <v>0</v>
      </c>
      <c r="J195" s="261">
        <f t="shared" si="20"/>
        <v>0</v>
      </c>
    </row>
    <row r="196" spans="1:10" ht="37.5">
      <c r="A196" s="26"/>
      <c r="B196" s="127" t="s">
        <v>563</v>
      </c>
      <c r="C196" s="5" t="s">
        <v>59</v>
      </c>
      <c r="D196" s="5" t="s">
        <v>55</v>
      </c>
      <c r="E196" s="6" t="s">
        <v>108</v>
      </c>
      <c r="F196" s="6" t="s">
        <v>562</v>
      </c>
      <c r="G196" s="37"/>
      <c r="H196" s="121">
        <f t="shared" si="20"/>
        <v>0</v>
      </c>
      <c r="I196" s="121">
        <f t="shared" si="20"/>
        <v>0</v>
      </c>
      <c r="J196" s="254">
        <f t="shared" si="20"/>
        <v>0</v>
      </c>
    </row>
    <row r="197" spans="1:10" ht="36">
      <c r="A197" s="26"/>
      <c r="B197" s="106" t="s">
        <v>551</v>
      </c>
      <c r="C197" s="9" t="s">
        <v>59</v>
      </c>
      <c r="D197" s="9" t="s">
        <v>55</v>
      </c>
      <c r="E197" s="9" t="s">
        <v>108</v>
      </c>
      <c r="F197" s="9" t="s">
        <v>562</v>
      </c>
      <c r="G197" s="8" t="s">
        <v>192</v>
      </c>
      <c r="H197" s="75">
        <f>14500-14500</f>
        <v>0</v>
      </c>
      <c r="I197" s="75">
        <v>0</v>
      </c>
      <c r="J197" s="263">
        <v>0</v>
      </c>
    </row>
    <row r="198" spans="1:10" ht="18.75">
      <c r="A198" s="26"/>
      <c r="B198" s="96" t="s">
        <v>42</v>
      </c>
      <c r="C198" s="22" t="s">
        <v>59</v>
      </c>
      <c r="D198" s="22" t="s">
        <v>56</v>
      </c>
      <c r="E198" s="23"/>
      <c r="F198" s="28"/>
      <c r="G198" s="28"/>
      <c r="H198" s="66">
        <f>H199</f>
        <v>71704.6</v>
      </c>
      <c r="I198" s="66">
        <f>I199</f>
        <v>0</v>
      </c>
      <c r="J198" s="186">
        <f>J199</f>
        <v>0</v>
      </c>
    </row>
    <row r="199" spans="1:11" ht="18.75">
      <c r="A199" s="26"/>
      <c r="B199" s="96" t="s">
        <v>588</v>
      </c>
      <c r="C199" s="22" t="s">
        <v>59</v>
      </c>
      <c r="D199" s="22" t="s">
        <v>56</v>
      </c>
      <c r="E199" s="23" t="s">
        <v>53</v>
      </c>
      <c r="F199" s="28"/>
      <c r="G199" s="28"/>
      <c r="H199" s="66">
        <f aca="true" t="shared" si="21" ref="H199:J202">H200</f>
        <v>71704.6</v>
      </c>
      <c r="I199" s="66">
        <f t="shared" si="21"/>
        <v>0</v>
      </c>
      <c r="J199" s="186">
        <f t="shared" si="21"/>
        <v>0</v>
      </c>
      <c r="K199" s="204"/>
    </row>
    <row r="200" spans="1:10" ht="18.75">
      <c r="A200" s="26"/>
      <c r="B200" s="116" t="s">
        <v>26</v>
      </c>
      <c r="C200" s="41" t="s">
        <v>59</v>
      </c>
      <c r="D200" s="41" t="s">
        <v>56</v>
      </c>
      <c r="E200" s="41" t="s">
        <v>53</v>
      </c>
      <c r="F200" s="48" t="s">
        <v>88</v>
      </c>
      <c r="G200" s="41"/>
      <c r="H200" s="83">
        <f t="shared" si="21"/>
        <v>71704.6</v>
      </c>
      <c r="I200" s="83">
        <f t="shared" si="21"/>
        <v>0</v>
      </c>
      <c r="J200" s="264">
        <f t="shared" si="21"/>
        <v>0</v>
      </c>
    </row>
    <row r="201" spans="1:10" ht="18.75">
      <c r="A201" s="26"/>
      <c r="B201" s="115" t="s">
        <v>35</v>
      </c>
      <c r="C201" s="41" t="s">
        <v>59</v>
      </c>
      <c r="D201" s="41" t="s">
        <v>56</v>
      </c>
      <c r="E201" s="41" t="s">
        <v>53</v>
      </c>
      <c r="F201" s="41" t="s">
        <v>89</v>
      </c>
      <c r="G201" s="41"/>
      <c r="H201" s="83">
        <f t="shared" si="21"/>
        <v>71704.6</v>
      </c>
      <c r="I201" s="83">
        <f t="shared" si="21"/>
        <v>0</v>
      </c>
      <c r="J201" s="264">
        <f t="shared" si="21"/>
        <v>0</v>
      </c>
    </row>
    <row r="202" spans="1:10" ht="18.75">
      <c r="A202" s="26"/>
      <c r="B202" s="115" t="s">
        <v>35</v>
      </c>
      <c r="C202" s="41" t="s">
        <v>59</v>
      </c>
      <c r="D202" s="41" t="s">
        <v>56</v>
      </c>
      <c r="E202" s="41" t="s">
        <v>53</v>
      </c>
      <c r="F202" s="41" t="s">
        <v>90</v>
      </c>
      <c r="G202" s="41"/>
      <c r="H202" s="83">
        <f t="shared" si="21"/>
        <v>71704.6</v>
      </c>
      <c r="I202" s="83">
        <f t="shared" si="21"/>
        <v>0</v>
      </c>
      <c r="J202" s="264">
        <f t="shared" si="21"/>
        <v>0</v>
      </c>
    </row>
    <row r="203" spans="1:10" ht="93.75">
      <c r="A203" s="26"/>
      <c r="B203" s="98" t="s">
        <v>605</v>
      </c>
      <c r="C203" s="178" t="s">
        <v>59</v>
      </c>
      <c r="D203" s="178" t="s">
        <v>56</v>
      </c>
      <c r="E203" s="178" t="s">
        <v>53</v>
      </c>
      <c r="F203" s="183" t="s">
        <v>606</v>
      </c>
      <c r="G203" s="2"/>
      <c r="H203" s="179">
        <f>H204</f>
        <v>71704.6</v>
      </c>
      <c r="I203" s="179">
        <f>I204</f>
        <v>0</v>
      </c>
      <c r="J203" s="262">
        <f>J204</f>
        <v>0</v>
      </c>
    </row>
    <row r="204" spans="1:10" ht="18">
      <c r="A204" s="26"/>
      <c r="B204" s="93" t="s">
        <v>197</v>
      </c>
      <c r="C204" s="9" t="s">
        <v>59</v>
      </c>
      <c r="D204" s="9" t="s">
        <v>56</v>
      </c>
      <c r="E204" s="9" t="s">
        <v>53</v>
      </c>
      <c r="F204" s="9" t="s">
        <v>606</v>
      </c>
      <c r="G204" s="9" t="s">
        <v>195</v>
      </c>
      <c r="H204" s="70">
        <f>64000-2795.4+10500</f>
        <v>71704.6</v>
      </c>
      <c r="I204" s="70">
        <v>0</v>
      </c>
      <c r="J204" s="13">
        <v>0</v>
      </c>
    </row>
    <row r="205" spans="1:11" ht="18.75">
      <c r="A205" s="26"/>
      <c r="B205" s="96" t="s">
        <v>248</v>
      </c>
      <c r="C205" s="22" t="s">
        <v>59</v>
      </c>
      <c r="D205" s="22" t="s">
        <v>57</v>
      </c>
      <c r="E205" s="23"/>
      <c r="F205" s="23"/>
      <c r="G205" s="15"/>
      <c r="H205" s="71">
        <f aca="true" t="shared" si="22" ref="H205:J210">H206</f>
        <v>740</v>
      </c>
      <c r="I205" s="71">
        <f t="shared" si="22"/>
        <v>740</v>
      </c>
      <c r="J205" s="250">
        <f t="shared" si="22"/>
        <v>740</v>
      </c>
      <c r="K205" s="204"/>
    </row>
    <row r="206" spans="1:10" ht="18.75">
      <c r="A206" s="26"/>
      <c r="B206" s="96" t="s">
        <v>247</v>
      </c>
      <c r="C206" s="22" t="s">
        <v>59</v>
      </c>
      <c r="D206" s="22" t="s">
        <v>57</v>
      </c>
      <c r="E206" s="23" t="s">
        <v>56</v>
      </c>
      <c r="F206" s="23"/>
      <c r="G206" s="24"/>
      <c r="H206" s="165">
        <f t="shared" si="22"/>
        <v>740</v>
      </c>
      <c r="I206" s="165">
        <f t="shared" si="22"/>
        <v>740</v>
      </c>
      <c r="J206" s="261">
        <f t="shared" si="22"/>
        <v>740</v>
      </c>
    </row>
    <row r="207" spans="1:10" ht="37.5">
      <c r="A207" s="26"/>
      <c r="B207" s="96" t="s">
        <v>68</v>
      </c>
      <c r="C207" s="22" t="s">
        <v>59</v>
      </c>
      <c r="D207" s="22" t="s">
        <v>57</v>
      </c>
      <c r="E207" s="23" t="s">
        <v>56</v>
      </c>
      <c r="F207" s="23" t="s">
        <v>307</v>
      </c>
      <c r="G207" s="24"/>
      <c r="H207" s="165">
        <f t="shared" si="22"/>
        <v>740</v>
      </c>
      <c r="I207" s="165">
        <f t="shared" si="22"/>
        <v>740</v>
      </c>
      <c r="J207" s="261">
        <f t="shared" si="22"/>
        <v>740</v>
      </c>
    </row>
    <row r="208" spans="1:10" ht="18.75">
      <c r="A208" s="26"/>
      <c r="B208" s="96" t="s">
        <v>294</v>
      </c>
      <c r="C208" s="22" t="s">
        <v>59</v>
      </c>
      <c r="D208" s="22" t="s">
        <v>57</v>
      </c>
      <c r="E208" s="23" t="s">
        <v>56</v>
      </c>
      <c r="F208" s="23" t="s">
        <v>308</v>
      </c>
      <c r="G208" s="15"/>
      <c r="H208" s="71">
        <f t="shared" si="22"/>
        <v>740</v>
      </c>
      <c r="I208" s="71">
        <f t="shared" si="22"/>
        <v>740</v>
      </c>
      <c r="J208" s="250">
        <f t="shared" si="22"/>
        <v>740</v>
      </c>
    </row>
    <row r="209" spans="1:10" ht="54.75">
      <c r="A209" s="26"/>
      <c r="B209" s="170" t="s">
        <v>570</v>
      </c>
      <c r="C209" s="22" t="s">
        <v>59</v>
      </c>
      <c r="D209" s="22" t="s">
        <v>57</v>
      </c>
      <c r="E209" s="23" t="s">
        <v>56</v>
      </c>
      <c r="F209" s="23" t="s">
        <v>571</v>
      </c>
      <c r="G209" s="15"/>
      <c r="H209" s="71">
        <f t="shared" si="22"/>
        <v>740</v>
      </c>
      <c r="I209" s="71">
        <f t="shared" si="22"/>
        <v>740</v>
      </c>
      <c r="J209" s="250">
        <f t="shared" si="22"/>
        <v>740</v>
      </c>
    </row>
    <row r="210" spans="1:10" ht="18.75">
      <c r="A210" s="26"/>
      <c r="B210" s="127" t="s">
        <v>572</v>
      </c>
      <c r="C210" s="11" t="s">
        <v>59</v>
      </c>
      <c r="D210" s="11" t="s">
        <v>57</v>
      </c>
      <c r="E210" s="1" t="s">
        <v>56</v>
      </c>
      <c r="F210" s="1" t="s">
        <v>573</v>
      </c>
      <c r="G210" s="37"/>
      <c r="H210" s="121">
        <f t="shared" si="22"/>
        <v>740</v>
      </c>
      <c r="I210" s="121">
        <f t="shared" si="22"/>
        <v>740</v>
      </c>
      <c r="J210" s="254">
        <f t="shared" si="22"/>
        <v>740</v>
      </c>
    </row>
    <row r="211" spans="1:10" ht="36">
      <c r="A211" s="26"/>
      <c r="B211" s="106" t="s">
        <v>551</v>
      </c>
      <c r="C211" s="9" t="s">
        <v>59</v>
      </c>
      <c r="D211" s="9" t="s">
        <v>57</v>
      </c>
      <c r="E211" s="9" t="s">
        <v>56</v>
      </c>
      <c r="F211" s="9" t="s">
        <v>573</v>
      </c>
      <c r="G211" s="8" t="s">
        <v>192</v>
      </c>
      <c r="H211" s="75">
        <v>740</v>
      </c>
      <c r="I211" s="75">
        <v>740</v>
      </c>
      <c r="J211" s="263">
        <v>740</v>
      </c>
    </row>
    <row r="212" spans="1:11" ht="18.75">
      <c r="A212" s="26"/>
      <c r="B212" s="96" t="s">
        <v>43</v>
      </c>
      <c r="C212" s="22" t="s">
        <v>59</v>
      </c>
      <c r="D212" s="22" t="s">
        <v>52</v>
      </c>
      <c r="E212" s="23"/>
      <c r="F212" s="28"/>
      <c r="G212" s="28"/>
      <c r="H212" s="66">
        <f>H223+H272+H213+H262+H268+H299</f>
        <v>531066.5</v>
      </c>
      <c r="I212" s="66">
        <f>I223+I272+I213+I262+I268+I299</f>
        <v>426212.30000000005</v>
      </c>
      <c r="J212" s="186">
        <f>J223+J272+J213+J262+J268+J299</f>
        <v>187982.6</v>
      </c>
      <c r="K212" s="204"/>
    </row>
    <row r="213" spans="1:10" ht="18.75">
      <c r="A213" s="26"/>
      <c r="B213" s="96" t="s">
        <v>44</v>
      </c>
      <c r="C213" s="22" t="s">
        <v>59</v>
      </c>
      <c r="D213" s="22" t="s">
        <v>52</v>
      </c>
      <c r="E213" s="23" t="s">
        <v>54</v>
      </c>
      <c r="F213" s="23"/>
      <c r="G213" s="28"/>
      <c r="H213" s="66">
        <f>H218+H214</f>
        <v>10895</v>
      </c>
      <c r="I213" s="66">
        <f>I218+I214</f>
        <v>0</v>
      </c>
      <c r="J213" s="186">
        <f>J218+J214</f>
        <v>63457.4</v>
      </c>
    </row>
    <row r="214" spans="1:10" ht="18.75">
      <c r="A214" s="26"/>
      <c r="B214" s="95" t="s">
        <v>618</v>
      </c>
      <c r="C214" s="11" t="s">
        <v>59</v>
      </c>
      <c r="D214" s="11" t="s">
        <v>52</v>
      </c>
      <c r="E214" s="1" t="s">
        <v>54</v>
      </c>
      <c r="F214" s="1" t="s">
        <v>617</v>
      </c>
      <c r="G214" s="1"/>
      <c r="H214" s="62">
        <f aca="true" t="shared" si="23" ref="H214:J215">H215</f>
        <v>0</v>
      </c>
      <c r="I214" s="62">
        <f t="shared" si="23"/>
        <v>0</v>
      </c>
      <c r="J214" s="188">
        <f t="shared" si="23"/>
        <v>63457.4</v>
      </c>
    </row>
    <row r="215" spans="1:10" ht="37.5">
      <c r="A215" s="26"/>
      <c r="B215" s="95" t="s">
        <v>620</v>
      </c>
      <c r="C215" s="11" t="s">
        <v>59</v>
      </c>
      <c r="D215" s="11" t="s">
        <v>52</v>
      </c>
      <c r="E215" s="1" t="s">
        <v>54</v>
      </c>
      <c r="F215" s="1" t="s">
        <v>619</v>
      </c>
      <c r="G215" s="1"/>
      <c r="H215" s="62">
        <f>H216</f>
        <v>0</v>
      </c>
      <c r="I215" s="62">
        <f t="shared" si="23"/>
        <v>0</v>
      </c>
      <c r="J215" s="188">
        <f t="shared" si="23"/>
        <v>63457.4</v>
      </c>
    </row>
    <row r="216" spans="1:10" ht="18.75">
      <c r="A216" s="26"/>
      <c r="B216" s="95" t="s">
        <v>656</v>
      </c>
      <c r="C216" s="11" t="s">
        <v>59</v>
      </c>
      <c r="D216" s="11" t="s">
        <v>52</v>
      </c>
      <c r="E216" s="1" t="s">
        <v>54</v>
      </c>
      <c r="F216" s="1" t="s">
        <v>655</v>
      </c>
      <c r="G216" s="12"/>
      <c r="H216" s="62">
        <f>SUM(H217:H217)</f>
        <v>0</v>
      </c>
      <c r="I216" s="62">
        <f>SUM(I217:I217)</f>
        <v>0</v>
      </c>
      <c r="J216" s="188">
        <f>SUM(J217:J217)</f>
        <v>63457.4</v>
      </c>
    </row>
    <row r="217" spans="1:10" ht="36">
      <c r="A217" s="26"/>
      <c r="B217" s="102" t="s">
        <v>199</v>
      </c>
      <c r="C217" s="20" t="s">
        <v>59</v>
      </c>
      <c r="D217" s="20" t="s">
        <v>52</v>
      </c>
      <c r="E217" s="20" t="s">
        <v>54</v>
      </c>
      <c r="F217" s="20" t="s">
        <v>655</v>
      </c>
      <c r="G217" s="20" t="s">
        <v>192</v>
      </c>
      <c r="H217" s="69">
        <v>0</v>
      </c>
      <c r="I217" s="69">
        <v>0</v>
      </c>
      <c r="J217" s="234">
        <f>7614.9+55842.5</f>
        <v>63457.4</v>
      </c>
    </row>
    <row r="218" spans="1:10" ht="37.5">
      <c r="A218" s="26"/>
      <c r="B218" s="96" t="s">
        <v>32</v>
      </c>
      <c r="C218" s="22" t="s">
        <v>59</v>
      </c>
      <c r="D218" s="22" t="s">
        <v>52</v>
      </c>
      <c r="E218" s="23" t="s">
        <v>54</v>
      </c>
      <c r="F218" s="23" t="s">
        <v>417</v>
      </c>
      <c r="G218" s="23"/>
      <c r="H218" s="66">
        <f aca="true" t="shared" si="24" ref="H218:J220">H219</f>
        <v>10895</v>
      </c>
      <c r="I218" s="66">
        <f t="shared" si="24"/>
        <v>0</v>
      </c>
      <c r="J218" s="186">
        <f t="shared" si="24"/>
        <v>0</v>
      </c>
    </row>
    <row r="219" spans="1:10" ht="18.75">
      <c r="A219" s="26"/>
      <c r="B219" s="158" t="s">
        <v>286</v>
      </c>
      <c r="C219" s="22" t="s">
        <v>59</v>
      </c>
      <c r="D219" s="22" t="s">
        <v>52</v>
      </c>
      <c r="E219" s="23" t="s">
        <v>54</v>
      </c>
      <c r="F219" s="23" t="s">
        <v>418</v>
      </c>
      <c r="G219" s="1"/>
      <c r="H219" s="62">
        <f t="shared" si="24"/>
        <v>10895</v>
      </c>
      <c r="I219" s="62">
        <f t="shared" si="24"/>
        <v>0</v>
      </c>
      <c r="J219" s="188">
        <f t="shared" si="24"/>
        <v>0</v>
      </c>
    </row>
    <row r="220" spans="1:10" ht="37.5">
      <c r="A220" s="26"/>
      <c r="B220" s="158" t="s">
        <v>421</v>
      </c>
      <c r="C220" s="11" t="s">
        <v>59</v>
      </c>
      <c r="D220" s="11" t="s">
        <v>52</v>
      </c>
      <c r="E220" s="1" t="s">
        <v>54</v>
      </c>
      <c r="F220" s="1" t="s">
        <v>419</v>
      </c>
      <c r="G220" s="1"/>
      <c r="H220" s="62">
        <f>H221</f>
        <v>10895</v>
      </c>
      <c r="I220" s="62">
        <f t="shared" si="24"/>
        <v>0</v>
      </c>
      <c r="J220" s="188">
        <f t="shared" si="24"/>
        <v>0</v>
      </c>
    </row>
    <row r="221" spans="1:10" ht="37.5">
      <c r="A221" s="26"/>
      <c r="B221" s="108" t="s">
        <v>236</v>
      </c>
      <c r="C221" s="11" t="s">
        <v>59</v>
      </c>
      <c r="D221" s="11" t="s">
        <v>52</v>
      </c>
      <c r="E221" s="1" t="s">
        <v>54</v>
      </c>
      <c r="F221" s="1" t="s">
        <v>422</v>
      </c>
      <c r="G221" s="1"/>
      <c r="H221" s="62">
        <f>H222</f>
        <v>10895</v>
      </c>
      <c r="I221" s="62">
        <f>I222</f>
        <v>0</v>
      </c>
      <c r="J221" s="188">
        <f>J222</f>
        <v>0</v>
      </c>
    </row>
    <row r="222" spans="1:10" ht="36">
      <c r="A222" s="26"/>
      <c r="B222" s="93" t="s">
        <v>199</v>
      </c>
      <c r="C222" s="9" t="s">
        <v>59</v>
      </c>
      <c r="D222" s="9" t="s">
        <v>52</v>
      </c>
      <c r="E222" s="9" t="s">
        <v>54</v>
      </c>
      <c r="F222" s="9" t="s">
        <v>422</v>
      </c>
      <c r="G222" s="9" t="s">
        <v>192</v>
      </c>
      <c r="H222" s="70">
        <f>2200+7630+520+545</f>
        <v>10895</v>
      </c>
      <c r="I222" s="70">
        <v>0</v>
      </c>
      <c r="J222" s="13">
        <v>0</v>
      </c>
    </row>
    <row r="223" spans="1:11" ht="18.75">
      <c r="A223" s="26"/>
      <c r="B223" s="96" t="s">
        <v>45</v>
      </c>
      <c r="C223" s="22" t="s">
        <v>59</v>
      </c>
      <c r="D223" s="22" t="s">
        <v>52</v>
      </c>
      <c r="E223" s="23" t="s">
        <v>79</v>
      </c>
      <c r="F223" s="23"/>
      <c r="G223" s="28"/>
      <c r="H223" s="66">
        <f>H224+H240+H257</f>
        <v>492649.30000000005</v>
      </c>
      <c r="I223" s="66">
        <f>I224+I240+I257</f>
        <v>414484.30000000005</v>
      </c>
      <c r="J223" s="186">
        <f>J224+J240+J257</f>
        <v>112797.20000000001</v>
      </c>
      <c r="K223" s="204"/>
    </row>
    <row r="224" spans="1:10" ht="37.5">
      <c r="A224" s="26"/>
      <c r="B224" s="98" t="s">
        <v>160</v>
      </c>
      <c r="C224" s="22" t="s">
        <v>59</v>
      </c>
      <c r="D224" s="22" t="s">
        <v>52</v>
      </c>
      <c r="E224" s="23" t="s">
        <v>79</v>
      </c>
      <c r="F224" s="23" t="s">
        <v>338</v>
      </c>
      <c r="G224" s="28"/>
      <c r="H224" s="66">
        <f>H225+H229</f>
        <v>52027.899999999994</v>
      </c>
      <c r="I224" s="66">
        <f>I225+I229</f>
        <v>30566.9</v>
      </c>
      <c r="J224" s="186">
        <f>J225+J229</f>
        <v>112797.20000000001</v>
      </c>
    </row>
    <row r="225" spans="1:10" ht="18.75">
      <c r="A225" s="26"/>
      <c r="B225" s="95" t="s">
        <v>294</v>
      </c>
      <c r="C225" s="22" t="s">
        <v>59</v>
      </c>
      <c r="D225" s="22" t="s">
        <v>52</v>
      </c>
      <c r="E225" s="23" t="s">
        <v>79</v>
      </c>
      <c r="F225" s="23" t="s">
        <v>359</v>
      </c>
      <c r="G225" s="28"/>
      <c r="H225" s="66">
        <f aca="true" t="shared" si="25" ref="H225:J226">H226</f>
        <v>33926.2</v>
      </c>
      <c r="I225" s="66">
        <f t="shared" si="25"/>
        <v>0</v>
      </c>
      <c r="J225" s="186">
        <f t="shared" si="25"/>
        <v>0</v>
      </c>
    </row>
    <row r="226" spans="1:10" ht="56.25">
      <c r="A226" s="26"/>
      <c r="B226" s="95" t="s">
        <v>485</v>
      </c>
      <c r="C226" s="22" t="s">
        <v>59</v>
      </c>
      <c r="D226" s="22" t="s">
        <v>52</v>
      </c>
      <c r="E226" s="23" t="s">
        <v>79</v>
      </c>
      <c r="F226" s="23" t="s">
        <v>484</v>
      </c>
      <c r="G226" s="28"/>
      <c r="H226" s="66">
        <f>H227</f>
        <v>33926.2</v>
      </c>
      <c r="I226" s="66">
        <f t="shared" si="25"/>
        <v>0</v>
      </c>
      <c r="J226" s="186">
        <f t="shared" si="25"/>
        <v>0</v>
      </c>
    </row>
    <row r="227" spans="1:10" ht="37.5">
      <c r="A227" s="26"/>
      <c r="B227" s="95" t="s">
        <v>243</v>
      </c>
      <c r="C227" s="22" t="s">
        <v>59</v>
      </c>
      <c r="D227" s="22" t="s">
        <v>52</v>
      </c>
      <c r="E227" s="23" t="s">
        <v>79</v>
      </c>
      <c r="F227" s="23" t="s">
        <v>592</v>
      </c>
      <c r="G227" s="28"/>
      <c r="H227" s="66">
        <f>H228</f>
        <v>33926.2</v>
      </c>
      <c r="I227" s="66">
        <f>I228</f>
        <v>0</v>
      </c>
      <c r="J227" s="186">
        <f>J228</f>
        <v>0</v>
      </c>
    </row>
    <row r="228" spans="1:10" ht="36">
      <c r="A228" s="26"/>
      <c r="B228" s="166" t="s">
        <v>199</v>
      </c>
      <c r="C228" s="28" t="s">
        <v>59</v>
      </c>
      <c r="D228" s="28" t="s">
        <v>52</v>
      </c>
      <c r="E228" s="28" t="s">
        <v>79</v>
      </c>
      <c r="F228" s="28" t="s">
        <v>592</v>
      </c>
      <c r="G228" s="28" t="s">
        <v>192</v>
      </c>
      <c r="H228" s="177">
        <f>19218+14708.2</f>
        <v>33926.2</v>
      </c>
      <c r="I228" s="177">
        <v>0</v>
      </c>
      <c r="J228" s="265">
        <v>0</v>
      </c>
    </row>
    <row r="229" spans="1:10" ht="18.75">
      <c r="A229" s="26"/>
      <c r="B229" s="96" t="s">
        <v>618</v>
      </c>
      <c r="C229" s="22" t="s">
        <v>59</v>
      </c>
      <c r="D229" s="22" t="s">
        <v>52</v>
      </c>
      <c r="E229" s="23" t="s">
        <v>79</v>
      </c>
      <c r="F229" s="23" t="s">
        <v>617</v>
      </c>
      <c r="G229" s="28"/>
      <c r="H229" s="66">
        <f>H230</f>
        <v>18101.7</v>
      </c>
      <c r="I229" s="66">
        <f>I230</f>
        <v>30566.9</v>
      </c>
      <c r="J229" s="186">
        <f>J230</f>
        <v>112797.20000000001</v>
      </c>
    </row>
    <row r="230" spans="1:10" ht="37.5">
      <c r="A230" s="26"/>
      <c r="B230" s="96" t="s">
        <v>624</v>
      </c>
      <c r="C230" s="22" t="s">
        <v>59</v>
      </c>
      <c r="D230" s="22" t="s">
        <v>52</v>
      </c>
      <c r="E230" s="23" t="s">
        <v>79</v>
      </c>
      <c r="F230" s="23" t="s">
        <v>622</v>
      </c>
      <c r="G230" s="28"/>
      <c r="H230" s="66">
        <f>H236+H233+H238+H231</f>
        <v>18101.7</v>
      </c>
      <c r="I230" s="66">
        <f>I236+I233+I238+I231</f>
        <v>30566.9</v>
      </c>
      <c r="J230" s="186">
        <f>J236+J233+J238+J231</f>
        <v>112797.20000000001</v>
      </c>
    </row>
    <row r="231" spans="1:10" ht="18.75">
      <c r="A231" s="26"/>
      <c r="B231" s="127" t="s">
        <v>658</v>
      </c>
      <c r="C231" s="5" t="s">
        <v>59</v>
      </c>
      <c r="D231" s="5" t="s">
        <v>52</v>
      </c>
      <c r="E231" s="6" t="s">
        <v>79</v>
      </c>
      <c r="F231" s="6" t="s">
        <v>657</v>
      </c>
      <c r="G231" s="6"/>
      <c r="H231" s="77">
        <f>SUM(H232:H232)</f>
        <v>0</v>
      </c>
      <c r="I231" s="77">
        <f>SUM(I232:I232)</f>
        <v>0</v>
      </c>
      <c r="J231" s="223">
        <f>SUM(J232:J232)</f>
        <v>90909.1</v>
      </c>
    </row>
    <row r="232" spans="1:10" ht="36">
      <c r="A232" s="26"/>
      <c r="B232" s="93" t="s">
        <v>199</v>
      </c>
      <c r="C232" s="9" t="s">
        <v>59</v>
      </c>
      <c r="D232" s="9" t="s">
        <v>52</v>
      </c>
      <c r="E232" s="9" t="s">
        <v>79</v>
      </c>
      <c r="F232" s="9" t="s">
        <v>657</v>
      </c>
      <c r="G232" s="9" t="s">
        <v>192</v>
      </c>
      <c r="H232" s="70">
        <v>0</v>
      </c>
      <c r="I232" s="70">
        <v>0</v>
      </c>
      <c r="J232" s="13">
        <f>10909.1+80000</f>
        <v>90909.1</v>
      </c>
    </row>
    <row r="233" spans="1:10" ht="37.5">
      <c r="A233" s="26"/>
      <c r="B233" s="96" t="s">
        <v>187</v>
      </c>
      <c r="C233" s="22" t="s">
        <v>59</v>
      </c>
      <c r="D233" s="22" t="s">
        <v>52</v>
      </c>
      <c r="E233" s="23" t="s">
        <v>79</v>
      </c>
      <c r="F233" s="23" t="s">
        <v>642</v>
      </c>
      <c r="G233" s="28"/>
      <c r="H233" s="66">
        <f>SUM(H234:H235)</f>
        <v>8700</v>
      </c>
      <c r="I233" s="66">
        <f>SUM(I234:I235)</f>
        <v>8700</v>
      </c>
      <c r="J233" s="186">
        <f>SUM(J234:J235)</f>
        <v>0</v>
      </c>
    </row>
    <row r="234" spans="1:10" ht="36">
      <c r="A234" s="26"/>
      <c r="B234" s="92" t="s">
        <v>199</v>
      </c>
      <c r="C234" s="21" t="s">
        <v>59</v>
      </c>
      <c r="D234" s="21" t="s">
        <v>52</v>
      </c>
      <c r="E234" s="21" t="s">
        <v>79</v>
      </c>
      <c r="F234" s="21" t="s">
        <v>642</v>
      </c>
      <c r="G234" s="21" t="s">
        <v>192</v>
      </c>
      <c r="H234" s="68">
        <v>0</v>
      </c>
      <c r="I234" s="68">
        <f>782+4431.5</f>
        <v>5213.5</v>
      </c>
      <c r="J234" s="99">
        <v>0</v>
      </c>
    </row>
    <row r="235" spans="1:10" ht="36">
      <c r="A235" s="26"/>
      <c r="B235" s="93" t="s">
        <v>250</v>
      </c>
      <c r="C235" s="9" t="s">
        <v>59</v>
      </c>
      <c r="D235" s="9" t="s">
        <v>52</v>
      </c>
      <c r="E235" s="9" t="s">
        <v>79</v>
      </c>
      <c r="F235" s="9" t="s">
        <v>642</v>
      </c>
      <c r="G235" s="9" t="s">
        <v>203</v>
      </c>
      <c r="H235" s="70">
        <f>1305+7395</f>
        <v>8700</v>
      </c>
      <c r="I235" s="70">
        <f>523+2963.5</f>
        <v>3486.5</v>
      </c>
      <c r="J235" s="13">
        <v>0</v>
      </c>
    </row>
    <row r="236" spans="1:10" ht="37.5">
      <c r="A236" s="26"/>
      <c r="B236" s="95" t="s">
        <v>243</v>
      </c>
      <c r="C236" s="11" t="s">
        <v>59</v>
      </c>
      <c r="D236" s="11" t="s">
        <v>52</v>
      </c>
      <c r="E236" s="1" t="s">
        <v>79</v>
      </c>
      <c r="F236" s="1" t="s">
        <v>626</v>
      </c>
      <c r="G236" s="12"/>
      <c r="H236" s="62">
        <f>H237</f>
        <v>0</v>
      </c>
      <c r="I236" s="62">
        <f>I237</f>
        <v>12359.5</v>
      </c>
      <c r="J236" s="188">
        <f>J237</f>
        <v>12272.7</v>
      </c>
    </row>
    <row r="237" spans="1:10" ht="36">
      <c r="A237" s="26"/>
      <c r="B237" s="103" t="s">
        <v>551</v>
      </c>
      <c r="C237" s="8" t="s">
        <v>59</v>
      </c>
      <c r="D237" s="8" t="s">
        <v>52</v>
      </c>
      <c r="E237" s="8" t="s">
        <v>79</v>
      </c>
      <c r="F237" s="8" t="s">
        <v>626</v>
      </c>
      <c r="G237" s="8" t="s">
        <v>192</v>
      </c>
      <c r="H237" s="75">
        <f>2555.7-115.7+23116.7-2555.7-23001</f>
        <v>0</v>
      </c>
      <c r="I237" s="75">
        <f>1359.6-17.6+11017.6-0.1</f>
        <v>12359.5</v>
      </c>
      <c r="J237" s="263">
        <f>1472.7+10800</f>
        <v>12272.7</v>
      </c>
    </row>
    <row r="238" spans="1:10" ht="37.5">
      <c r="A238" s="26"/>
      <c r="B238" s="127" t="s">
        <v>660</v>
      </c>
      <c r="C238" s="11" t="s">
        <v>59</v>
      </c>
      <c r="D238" s="11" t="s">
        <v>52</v>
      </c>
      <c r="E238" s="1" t="s">
        <v>79</v>
      </c>
      <c r="F238" s="1" t="s">
        <v>659</v>
      </c>
      <c r="G238" s="7"/>
      <c r="H238" s="77">
        <f>SUM(H239:H239)</f>
        <v>9401.7</v>
      </c>
      <c r="I238" s="77">
        <f>SUM(I239:I239)</f>
        <v>9507.4</v>
      </c>
      <c r="J238" s="223">
        <f>SUM(J239:J239)</f>
        <v>9615.4</v>
      </c>
    </row>
    <row r="239" spans="1:10" ht="36">
      <c r="A239" s="26"/>
      <c r="B239" s="102" t="s">
        <v>199</v>
      </c>
      <c r="C239" s="20" t="s">
        <v>59</v>
      </c>
      <c r="D239" s="20" t="s">
        <v>52</v>
      </c>
      <c r="E239" s="20" t="s">
        <v>79</v>
      </c>
      <c r="F239" s="20" t="s">
        <v>659</v>
      </c>
      <c r="G239" s="20" t="s">
        <v>192</v>
      </c>
      <c r="H239" s="69">
        <f>940.2+8461.5</f>
        <v>9401.7</v>
      </c>
      <c r="I239" s="69">
        <f>1045.8+8461.6</f>
        <v>9507.4</v>
      </c>
      <c r="J239" s="234">
        <f>1153.8+8461.6</f>
        <v>9615.4</v>
      </c>
    </row>
    <row r="240" spans="1:10" ht="37.5">
      <c r="A240" s="26"/>
      <c r="B240" s="96" t="s">
        <v>32</v>
      </c>
      <c r="C240" s="22" t="s">
        <v>59</v>
      </c>
      <c r="D240" s="22" t="s">
        <v>52</v>
      </c>
      <c r="E240" s="23" t="s">
        <v>79</v>
      </c>
      <c r="F240" s="23" t="s">
        <v>417</v>
      </c>
      <c r="G240" s="23"/>
      <c r="H240" s="66">
        <f>H241+H2060+H245</f>
        <v>436821.4</v>
      </c>
      <c r="I240" s="66">
        <f>I241+I2060+I245</f>
        <v>383917.4</v>
      </c>
      <c r="J240" s="186">
        <f>J241+J2060+J245</f>
        <v>0</v>
      </c>
    </row>
    <row r="241" spans="1:10" ht="18.75">
      <c r="A241" s="26"/>
      <c r="B241" s="118" t="s">
        <v>286</v>
      </c>
      <c r="C241" s="11" t="s">
        <v>59</v>
      </c>
      <c r="D241" s="11" t="s">
        <v>52</v>
      </c>
      <c r="E241" s="1" t="s">
        <v>79</v>
      </c>
      <c r="F241" s="1" t="s">
        <v>418</v>
      </c>
      <c r="G241" s="1"/>
      <c r="H241" s="66">
        <f aca="true" t="shared" si="26" ref="H241:J243">H242</f>
        <v>42686.9</v>
      </c>
      <c r="I241" s="66">
        <f t="shared" si="26"/>
        <v>0</v>
      </c>
      <c r="J241" s="186">
        <f t="shared" si="26"/>
        <v>0</v>
      </c>
    </row>
    <row r="242" spans="1:10" ht="37.5">
      <c r="A242" s="26"/>
      <c r="B242" s="96" t="s">
        <v>421</v>
      </c>
      <c r="C242" s="22" t="s">
        <v>59</v>
      </c>
      <c r="D242" s="22" t="s">
        <v>52</v>
      </c>
      <c r="E242" s="23" t="s">
        <v>79</v>
      </c>
      <c r="F242" s="23" t="s">
        <v>419</v>
      </c>
      <c r="G242" s="23"/>
      <c r="H242" s="66">
        <f t="shared" si="26"/>
        <v>42686.9</v>
      </c>
      <c r="I242" s="66">
        <f t="shared" si="26"/>
        <v>0</v>
      </c>
      <c r="J242" s="186">
        <f t="shared" si="26"/>
        <v>0</v>
      </c>
    </row>
    <row r="243" spans="1:10" ht="37.5">
      <c r="A243" s="26"/>
      <c r="B243" s="119" t="s">
        <v>237</v>
      </c>
      <c r="C243" s="29" t="s">
        <v>59</v>
      </c>
      <c r="D243" s="29" t="s">
        <v>52</v>
      </c>
      <c r="E243" s="30" t="s">
        <v>79</v>
      </c>
      <c r="F243" s="30" t="s">
        <v>423</v>
      </c>
      <c r="G243" s="30"/>
      <c r="H243" s="65">
        <f t="shared" si="26"/>
        <v>42686.9</v>
      </c>
      <c r="I243" s="65">
        <f t="shared" si="26"/>
        <v>0</v>
      </c>
      <c r="J243" s="100">
        <f t="shared" si="26"/>
        <v>0</v>
      </c>
    </row>
    <row r="244" spans="1:10" ht="36">
      <c r="A244" s="26"/>
      <c r="B244" s="93" t="s">
        <v>199</v>
      </c>
      <c r="C244" s="9" t="s">
        <v>59</v>
      </c>
      <c r="D244" s="9" t="s">
        <v>52</v>
      </c>
      <c r="E244" s="9" t="s">
        <v>79</v>
      </c>
      <c r="F244" s="9" t="s">
        <v>423</v>
      </c>
      <c r="G244" s="9" t="s">
        <v>192</v>
      </c>
      <c r="H244" s="70">
        <f>42103.7+583.3-0.1</f>
        <v>42686.9</v>
      </c>
      <c r="I244" s="70">
        <v>0</v>
      </c>
      <c r="J244" s="13">
        <v>0</v>
      </c>
    </row>
    <row r="245" spans="1:10" ht="18.75">
      <c r="A245" s="26"/>
      <c r="B245" s="96" t="s">
        <v>618</v>
      </c>
      <c r="C245" s="22" t="s">
        <v>59</v>
      </c>
      <c r="D245" s="22" t="s">
        <v>52</v>
      </c>
      <c r="E245" s="23" t="s">
        <v>79</v>
      </c>
      <c r="F245" s="23" t="s">
        <v>644</v>
      </c>
      <c r="G245" s="28"/>
      <c r="H245" s="66">
        <f>H246</f>
        <v>394134.5</v>
      </c>
      <c r="I245" s="66">
        <f>I246</f>
        <v>383917.4</v>
      </c>
      <c r="J245" s="186">
        <f>J246</f>
        <v>0</v>
      </c>
    </row>
    <row r="246" spans="1:10" ht="37.5">
      <c r="A246" s="26"/>
      <c r="B246" s="95" t="s">
        <v>624</v>
      </c>
      <c r="C246" s="22" t="s">
        <v>59</v>
      </c>
      <c r="D246" s="22" t="s">
        <v>52</v>
      </c>
      <c r="E246" s="23" t="s">
        <v>79</v>
      </c>
      <c r="F246" s="23" t="s">
        <v>645</v>
      </c>
      <c r="G246" s="28"/>
      <c r="H246" s="66">
        <f>H253+H247+H251+H255+H249</f>
        <v>394134.5</v>
      </c>
      <c r="I246" s="66">
        <f>I253+I247+I251+I255+I249</f>
        <v>383917.4</v>
      </c>
      <c r="J246" s="66">
        <f>J253+J247+J251+J255+J249</f>
        <v>0</v>
      </c>
    </row>
    <row r="247" spans="1:10" ht="55.5" customHeight="1">
      <c r="A247" s="26"/>
      <c r="B247" s="98" t="s">
        <v>751</v>
      </c>
      <c r="C247" s="29" t="s">
        <v>59</v>
      </c>
      <c r="D247" s="29" t="s">
        <v>52</v>
      </c>
      <c r="E247" s="30" t="s">
        <v>79</v>
      </c>
      <c r="F247" s="30" t="s">
        <v>752</v>
      </c>
      <c r="G247" s="21"/>
      <c r="H247" s="65">
        <f>H248</f>
        <v>600</v>
      </c>
      <c r="I247" s="65">
        <f>I248</f>
        <v>0</v>
      </c>
      <c r="J247" s="100">
        <f>J248</f>
        <v>0</v>
      </c>
    </row>
    <row r="248" spans="1:10" ht="36">
      <c r="A248" s="26"/>
      <c r="B248" s="93" t="s">
        <v>199</v>
      </c>
      <c r="C248" s="9" t="s">
        <v>59</v>
      </c>
      <c r="D248" s="9" t="s">
        <v>52</v>
      </c>
      <c r="E248" s="9" t="s">
        <v>79</v>
      </c>
      <c r="F248" s="9" t="s">
        <v>752</v>
      </c>
      <c r="G248" s="9" t="s">
        <v>192</v>
      </c>
      <c r="H248" s="70">
        <v>600</v>
      </c>
      <c r="I248" s="70">
        <v>0</v>
      </c>
      <c r="J248" s="13">
        <v>0</v>
      </c>
    </row>
    <row r="249" spans="1:10" ht="37.5">
      <c r="A249" s="26"/>
      <c r="B249" s="98" t="s">
        <v>775</v>
      </c>
      <c r="C249" s="29" t="s">
        <v>59</v>
      </c>
      <c r="D249" s="29" t="s">
        <v>52</v>
      </c>
      <c r="E249" s="30" t="s">
        <v>79</v>
      </c>
      <c r="F249" s="30" t="s">
        <v>771</v>
      </c>
      <c r="G249" s="21"/>
      <c r="H249" s="65">
        <f>H250</f>
        <v>1550</v>
      </c>
      <c r="I249" s="65">
        <f>I250</f>
        <v>0</v>
      </c>
      <c r="J249" s="100">
        <f>J250</f>
        <v>0</v>
      </c>
    </row>
    <row r="250" spans="1:10" ht="36">
      <c r="A250" s="26"/>
      <c r="B250" s="93" t="s">
        <v>206</v>
      </c>
      <c r="C250" s="9" t="s">
        <v>59</v>
      </c>
      <c r="D250" s="9" t="s">
        <v>52</v>
      </c>
      <c r="E250" s="9" t="s">
        <v>79</v>
      </c>
      <c r="F250" s="9" t="s">
        <v>771</v>
      </c>
      <c r="G250" s="9" t="s">
        <v>203</v>
      </c>
      <c r="H250" s="70">
        <f>600+600+350</f>
        <v>1550</v>
      </c>
      <c r="I250" s="70">
        <v>0</v>
      </c>
      <c r="J250" s="13">
        <v>0</v>
      </c>
    </row>
    <row r="251" spans="1:10" ht="56.25">
      <c r="A251" s="26"/>
      <c r="B251" s="98" t="s">
        <v>753</v>
      </c>
      <c r="C251" s="29" t="s">
        <v>59</v>
      </c>
      <c r="D251" s="29" t="s">
        <v>52</v>
      </c>
      <c r="E251" s="30" t="s">
        <v>79</v>
      </c>
      <c r="F251" s="30" t="s">
        <v>754</v>
      </c>
      <c r="G251" s="21"/>
      <c r="H251" s="65">
        <f>H252</f>
        <v>10914.8</v>
      </c>
      <c r="I251" s="65">
        <f>I252</f>
        <v>0</v>
      </c>
      <c r="J251" s="100">
        <f>J252</f>
        <v>0</v>
      </c>
    </row>
    <row r="252" spans="1:10" ht="36">
      <c r="A252" s="26"/>
      <c r="B252" s="93" t="s">
        <v>206</v>
      </c>
      <c r="C252" s="9" t="s">
        <v>59</v>
      </c>
      <c r="D252" s="9" t="s">
        <v>52</v>
      </c>
      <c r="E252" s="9" t="s">
        <v>79</v>
      </c>
      <c r="F252" s="9" t="s">
        <v>754</v>
      </c>
      <c r="G252" s="9" t="s">
        <v>203</v>
      </c>
      <c r="H252" s="70">
        <v>10914.8</v>
      </c>
      <c r="I252" s="70">
        <v>0</v>
      </c>
      <c r="J252" s="13">
        <v>0</v>
      </c>
    </row>
    <row r="253" spans="1:10" ht="75">
      <c r="A253" s="26"/>
      <c r="B253" s="95" t="s">
        <v>579</v>
      </c>
      <c r="C253" s="11" t="s">
        <v>59</v>
      </c>
      <c r="D253" s="11" t="s">
        <v>52</v>
      </c>
      <c r="E253" s="1" t="s">
        <v>79</v>
      </c>
      <c r="F253" s="1" t="s">
        <v>643</v>
      </c>
      <c r="G253" s="1"/>
      <c r="H253" s="62">
        <f>SUM(H254:H254)</f>
        <v>261069.7</v>
      </c>
      <c r="I253" s="62">
        <f>SUM(I254:I254)</f>
        <v>83917.4</v>
      </c>
      <c r="J253" s="188">
        <f>SUM(J254:J254)</f>
        <v>0</v>
      </c>
    </row>
    <row r="254" spans="1:10" ht="36">
      <c r="A254" s="26"/>
      <c r="B254" s="93" t="s">
        <v>206</v>
      </c>
      <c r="C254" s="9" t="s">
        <v>59</v>
      </c>
      <c r="D254" s="9" t="s">
        <v>52</v>
      </c>
      <c r="E254" s="9" t="s">
        <v>79</v>
      </c>
      <c r="F254" s="9" t="s">
        <v>643</v>
      </c>
      <c r="G254" s="9" t="s">
        <v>203</v>
      </c>
      <c r="H254" s="70">
        <f>4540.5+11460+4885.1+240184.1</f>
        <v>261069.7</v>
      </c>
      <c r="I254" s="70">
        <f>6713.4+77204</f>
        <v>83917.4</v>
      </c>
      <c r="J254" s="13">
        <v>0</v>
      </c>
    </row>
    <row r="255" spans="1:10" ht="73.5" customHeight="1">
      <c r="A255" s="26"/>
      <c r="B255" s="98" t="s">
        <v>761</v>
      </c>
      <c r="C255" s="29" t="s">
        <v>59</v>
      </c>
      <c r="D255" s="29" t="s">
        <v>52</v>
      </c>
      <c r="E255" s="30" t="s">
        <v>79</v>
      </c>
      <c r="F255" s="30" t="s">
        <v>762</v>
      </c>
      <c r="G255" s="30"/>
      <c r="H255" s="65">
        <f>H256</f>
        <v>120000</v>
      </c>
      <c r="I255" s="65">
        <f>I256</f>
        <v>300000</v>
      </c>
      <c r="J255" s="65">
        <f>J256</f>
        <v>0</v>
      </c>
    </row>
    <row r="256" spans="1:10" ht="36">
      <c r="A256" s="26"/>
      <c r="B256" s="151" t="s">
        <v>206</v>
      </c>
      <c r="C256" s="10" t="s">
        <v>59</v>
      </c>
      <c r="D256" s="10" t="s">
        <v>52</v>
      </c>
      <c r="E256" s="10" t="s">
        <v>79</v>
      </c>
      <c r="F256" s="10" t="s">
        <v>762</v>
      </c>
      <c r="G256" s="10" t="s">
        <v>203</v>
      </c>
      <c r="H256" s="79">
        <v>120000</v>
      </c>
      <c r="I256" s="79">
        <v>300000</v>
      </c>
      <c r="J256" s="245">
        <v>0</v>
      </c>
    </row>
    <row r="257" spans="1:10" ht="18.75">
      <c r="A257" s="26"/>
      <c r="B257" s="116" t="s">
        <v>26</v>
      </c>
      <c r="C257" s="41" t="s">
        <v>59</v>
      </c>
      <c r="D257" s="41" t="s">
        <v>52</v>
      </c>
      <c r="E257" s="41" t="s">
        <v>79</v>
      </c>
      <c r="F257" s="48" t="s">
        <v>88</v>
      </c>
      <c r="G257" s="10"/>
      <c r="H257" s="78">
        <f aca="true" t="shared" si="27" ref="H257:J260">H258</f>
        <v>3800</v>
      </c>
      <c r="I257" s="78">
        <f t="shared" si="27"/>
        <v>0</v>
      </c>
      <c r="J257" s="221">
        <f t="shared" si="27"/>
        <v>0</v>
      </c>
    </row>
    <row r="258" spans="1:10" ht="18.75">
      <c r="A258" s="26"/>
      <c r="B258" s="115" t="s">
        <v>35</v>
      </c>
      <c r="C258" s="41" t="s">
        <v>59</v>
      </c>
      <c r="D258" s="41" t="s">
        <v>52</v>
      </c>
      <c r="E258" s="41" t="s">
        <v>79</v>
      </c>
      <c r="F258" s="41" t="s">
        <v>89</v>
      </c>
      <c r="G258" s="10"/>
      <c r="H258" s="78">
        <f t="shared" si="27"/>
        <v>3800</v>
      </c>
      <c r="I258" s="78">
        <f t="shared" si="27"/>
        <v>0</v>
      </c>
      <c r="J258" s="221">
        <f t="shared" si="27"/>
        <v>0</v>
      </c>
    </row>
    <row r="259" spans="1:10" ht="18.75">
      <c r="A259" s="26"/>
      <c r="B259" s="115" t="s">
        <v>35</v>
      </c>
      <c r="C259" s="48" t="s">
        <v>59</v>
      </c>
      <c r="D259" s="48" t="s">
        <v>52</v>
      </c>
      <c r="E259" s="48" t="s">
        <v>79</v>
      </c>
      <c r="F259" s="48" t="s">
        <v>90</v>
      </c>
      <c r="G259" s="7"/>
      <c r="H259" s="77">
        <f t="shared" si="27"/>
        <v>3800</v>
      </c>
      <c r="I259" s="77">
        <f t="shared" si="27"/>
        <v>0</v>
      </c>
      <c r="J259" s="223">
        <f t="shared" si="27"/>
        <v>0</v>
      </c>
    </row>
    <row r="260" spans="1:10" ht="37.5">
      <c r="A260" s="26"/>
      <c r="B260" s="98" t="s">
        <v>711</v>
      </c>
      <c r="C260" s="178" t="s">
        <v>59</v>
      </c>
      <c r="D260" s="178" t="s">
        <v>52</v>
      </c>
      <c r="E260" s="178" t="s">
        <v>79</v>
      </c>
      <c r="F260" s="178" t="s">
        <v>712</v>
      </c>
      <c r="G260" s="21"/>
      <c r="H260" s="65">
        <f t="shared" si="27"/>
        <v>3800</v>
      </c>
      <c r="I260" s="65">
        <f t="shared" si="27"/>
        <v>0</v>
      </c>
      <c r="J260" s="100">
        <f t="shared" si="27"/>
        <v>0</v>
      </c>
    </row>
    <row r="261" spans="1:10" ht="36">
      <c r="A261" s="26"/>
      <c r="B261" s="151" t="s">
        <v>199</v>
      </c>
      <c r="C261" s="210" t="s">
        <v>59</v>
      </c>
      <c r="D261" s="210" t="s">
        <v>52</v>
      </c>
      <c r="E261" s="210" t="s">
        <v>79</v>
      </c>
      <c r="F261" s="210" t="s">
        <v>712</v>
      </c>
      <c r="G261" s="10" t="s">
        <v>192</v>
      </c>
      <c r="H261" s="79">
        <v>3800</v>
      </c>
      <c r="I261" s="79">
        <v>0</v>
      </c>
      <c r="J261" s="245">
        <v>0</v>
      </c>
    </row>
    <row r="262" spans="1:10" ht="18.75">
      <c r="A262" s="26"/>
      <c r="B262" s="96" t="s">
        <v>171</v>
      </c>
      <c r="C262" s="22" t="s">
        <v>59</v>
      </c>
      <c r="D262" s="22" t="s">
        <v>52</v>
      </c>
      <c r="E262" s="23" t="s">
        <v>53</v>
      </c>
      <c r="F262" s="23"/>
      <c r="G262" s="23"/>
      <c r="H262" s="66">
        <f aca="true" t="shared" si="28" ref="H262:J263">H263</f>
        <v>8090</v>
      </c>
      <c r="I262" s="66">
        <f t="shared" si="28"/>
        <v>0</v>
      </c>
      <c r="J262" s="186">
        <f t="shared" si="28"/>
        <v>0</v>
      </c>
    </row>
    <row r="263" spans="1:10" ht="37.5">
      <c r="A263" s="26"/>
      <c r="B263" s="96" t="s">
        <v>32</v>
      </c>
      <c r="C263" s="22" t="s">
        <v>59</v>
      </c>
      <c r="D263" s="22" t="s">
        <v>52</v>
      </c>
      <c r="E263" s="23" t="s">
        <v>53</v>
      </c>
      <c r="F263" s="23" t="s">
        <v>417</v>
      </c>
      <c r="G263" s="23"/>
      <c r="H263" s="66">
        <f>H264</f>
        <v>8090</v>
      </c>
      <c r="I263" s="66">
        <f t="shared" si="28"/>
        <v>0</v>
      </c>
      <c r="J263" s="186">
        <f t="shared" si="28"/>
        <v>0</v>
      </c>
    </row>
    <row r="264" spans="1:10" ht="18.75">
      <c r="A264" s="26"/>
      <c r="B264" s="118" t="s">
        <v>286</v>
      </c>
      <c r="C264" s="11" t="s">
        <v>59</v>
      </c>
      <c r="D264" s="11" t="s">
        <v>52</v>
      </c>
      <c r="E264" s="1" t="s">
        <v>53</v>
      </c>
      <c r="F264" s="1" t="s">
        <v>418</v>
      </c>
      <c r="G264" s="1"/>
      <c r="H264" s="62">
        <f aca="true" t="shared" si="29" ref="H264:J266">H265</f>
        <v>8090</v>
      </c>
      <c r="I264" s="62">
        <f t="shared" si="29"/>
        <v>0</v>
      </c>
      <c r="J264" s="188">
        <f t="shared" si="29"/>
        <v>0</v>
      </c>
    </row>
    <row r="265" spans="1:10" ht="37.5">
      <c r="A265" s="26"/>
      <c r="B265" s="96" t="s">
        <v>421</v>
      </c>
      <c r="C265" s="11" t="s">
        <v>59</v>
      </c>
      <c r="D265" s="11" t="s">
        <v>52</v>
      </c>
      <c r="E265" s="1" t="s">
        <v>53</v>
      </c>
      <c r="F265" s="23" t="s">
        <v>419</v>
      </c>
      <c r="G265" s="1"/>
      <c r="H265" s="62">
        <f t="shared" si="29"/>
        <v>8090</v>
      </c>
      <c r="I265" s="62">
        <f t="shared" si="29"/>
        <v>0</v>
      </c>
      <c r="J265" s="188">
        <f t="shared" si="29"/>
        <v>0</v>
      </c>
    </row>
    <row r="266" spans="1:10" ht="37.5">
      <c r="A266" s="26"/>
      <c r="B266" s="108" t="s">
        <v>238</v>
      </c>
      <c r="C266" s="11" t="s">
        <v>59</v>
      </c>
      <c r="D266" s="11" t="s">
        <v>52</v>
      </c>
      <c r="E266" s="1" t="s">
        <v>53</v>
      </c>
      <c r="F266" s="30" t="s">
        <v>424</v>
      </c>
      <c r="G266" s="1"/>
      <c r="H266" s="62">
        <f t="shared" si="29"/>
        <v>8090</v>
      </c>
      <c r="I266" s="62">
        <f t="shared" si="29"/>
        <v>0</v>
      </c>
      <c r="J266" s="188">
        <f t="shared" si="29"/>
        <v>0</v>
      </c>
    </row>
    <row r="267" spans="1:10" ht="36">
      <c r="A267" s="26"/>
      <c r="B267" s="93" t="s">
        <v>199</v>
      </c>
      <c r="C267" s="9" t="s">
        <v>59</v>
      </c>
      <c r="D267" s="9" t="s">
        <v>52</v>
      </c>
      <c r="E267" s="9" t="s">
        <v>53</v>
      </c>
      <c r="F267" s="9" t="s">
        <v>424</v>
      </c>
      <c r="G267" s="9" t="s">
        <v>192</v>
      </c>
      <c r="H267" s="70">
        <f>7200+890</f>
        <v>8090</v>
      </c>
      <c r="I267" s="70">
        <v>0</v>
      </c>
      <c r="J267" s="13">
        <v>0</v>
      </c>
    </row>
    <row r="268" spans="1:10" ht="37.5">
      <c r="A268" s="26"/>
      <c r="B268" s="153" t="s">
        <v>156</v>
      </c>
      <c r="C268" s="5" t="s">
        <v>59</v>
      </c>
      <c r="D268" s="5" t="s">
        <v>52</v>
      </c>
      <c r="E268" s="6" t="s">
        <v>56</v>
      </c>
      <c r="F268" s="123"/>
      <c r="G268" s="7"/>
      <c r="H268" s="77">
        <f aca="true" t="shared" si="30" ref="H268:J270">H269</f>
        <v>269.6</v>
      </c>
      <c r="I268" s="77">
        <f t="shared" si="30"/>
        <v>269.6</v>
      </c>
      <c r="J268" s="223">
        <f t="shared" si="30"/>
        <v>269.6</v>
      </c>
    </row>
    <row r="269" spans="1:10" ht="18.75">
      <c r="A269" s="26"/>
      <c r="B269" s="96" t="s">
        <v>35</v>
      </c>
      <c r="C269" s="11" t="s">
        <v>59</v>
      </c>
      <c r="D269" s="11" t="s">
        <v>52</v>
      </c>
      <c r="E269" s="1" t="s">
        <v>56</v>
      </c>
      <c r="F269" s="23" t="s">
        <v>90</v>
      </c>
      <c r="G269" s="12"/>
      <c r="H269" s="62">
        <f t="shared" si="30"/>
        <v>269.6</v>
      </c>
      <c r="I269" s="62">
        <f t="shared" si="30"/>
        <v>269.6</v>
      </c>
      <c r="J269" s="188">
        <f t="shared" si="30"/>
        <v>269.6</v>
      </c>
    </row>
    <row r="270" spans="1:10" ht="56.25">
      <c r="A270" s="26"/>
      <c r="B270" s="108" t="s">
        <v>267</v>
      </c>
      <c r="C270" s="11" t="s">
        <v>59</v>
      </c>
      <c r="D270" s="11" t="s">
        <v>52</v>
      </c>
      <c r="E270" s="1" t="s">
        <v>56</v>
      </c>
      <c r="F270" s="1" t="s">
        <v>255</v>
      </c>
      <c r="G270" s="12"/>
      <c r="H270" s="62">
        <f t="shared" si="30"/>
        <v>269.6</v>
      </c>
      <c r="I270" s="62">
        <f t="shared" si="30"/>
        <v>269.6</v>
      </c>
      <c r="J270" s="188">
        <f t="shared" si="30"/>
        <v>269.6</v>
      </c>
    </row>
    <row r="271" spans="1:10" ht="36">
      <c r="A271" s="26"/>
      <c r="B271" s="93" t="s">
        <v>199</v>
      </c>
      <c r="C271" s="9" t="s">
        <v>59</v>
      </c>
      <c r="D271" s="9" t="s">
        <v>52</v>
      </c>
      <c r="E271" s="9" t="s">
        <v>56</v>
      </c>
      <c r="F271" s="9" t="s">
        <v>255</v>
      </c>
      <c r="G271" s="9" t="s">
        <v>192</v>
      </c>
      <c r="H271" s="70">
        <f>219+27.8+56-33.2</f>
        <v>269.6</v>
      </c>
      <c r="I271" s="70">
        <f>219+27.8+56-33.2</f>
        <v>269.6</v>
      </c>
      <c r="J271" s="13">
        <f>219+27.8+56-33.2</f>
        <v>269.6</v>
      </c>
    </row>
    <row r="272" spans="1:10" ht="18.75">
      <c r="A272" s="26"/>
      <c r="B272" s="96" t="s">
        <v>170</v>
      </c>
      <c r="C272" s="22" t="s">
        <v>59</v>
      </c>
      <c r="D272" s="22" t="s">
        <v>52</v>
      </c>
      <c r="E272" s="23" t="s">
        <v>52</v>
      </c>
      <c r="F272" s="28" t="s">
        <v>78</v>
      </c>
      <c r="G272" s="28"/>
      <c r="H272" s="66">
        <f>H273+H294</f>
        <v>18206.600000000002</v>
      </c>
      <c r="I272" s="66">
        <f aca="true" t="shared" si="31" ref="H272:J273">I273</f>
        <v>10502.4</v>
      </c>
      <c r="J272" s="186">
        <f t="shared" si="31"/>
        <v>10502.4</v>
      </c>
    </row>
    <row r="273" spans="1:10" ht="56.25">
      <c r="A273" s="26"/>
      <c r="B273" s="96" t="s">
        <v>232</v>
      </c>
      <c r="C273" s="22" t="s">
        <v>59</v>
      </c>
      <c r="D273" s="22" t="s">
        <v>52</v>
      </c>
      <c r="E273" s="23" t="s">
        <v>52</v>
      </c>
      <c r="F273" s="23" t="s">
        <v>339</v>
      </c>
      <c r="G273" s="28"/>
      <c r="H273" s="66">
        <f t="shared" si="31"/>
        <v>17907.4</v>
      </c>
      <c r="I273" s="66">
        <f t="shared" si="31"/>
        <v>10502.4</v>
      </c>
      <c r="J273" s="186">
        <f t="shared" si="31"/>
        <v>10502.4</v>
      </c>
    </row>
    <row r="274" spans="1:10" ht="18.75">
      <c r="A274" s="26"/>
      <c r="B274" s="96" t="s">
        <v>294</v>
      </c>
      <c r="C274" s="22" t="s">
        <v>59</v>
      </c>
      <c r="D274" s="22" t="s">
        <v>52</v>
      </c>
      <c r="E274" s="23" t="s">
        <v>52</v>
      </c>
      <c r="F274" s="23" t="s">
        <v>340</v>
      </c>
      <c r="G274" s="28"/>
      <c r="H274" s="66">
        <f>H275+H278+H281</f>
        <v>17907.4</v>
      </c>
      <c r="I274" s="66">
        <f>I275+I278+I281</f>
        <v>10502.4</v>
      </c>
      <c r="J274" s="186">
        <f>J275+J278+J281</f>
        <v>10502.4</v>
      </c>
    </row>
    <row r="275" spans="1:10" ht="37.5">
      <c r="A275" s="26"/>
      <c r="B275" s="96" t="s">
        <v>343</v>
      </c>
      <c r="C275" s="11" t="s">
        <v>59</v>
      </c>
      <c r="D275" s="11" t="s">
        <v>52</v>
      </c>
      <c r="E275" s="1" t="s">
        <v>52</v>
      </c>
      <c r="F275" s="1" t="s">
        <v>341</v>
      </c>
      <c r="G275" s="12"/>
      <c r="H275" s="62">
        <f>H276</f>
        <v>509.3</v>
      </c>
      <c r="I275" s="62">
        <f>I276</f>
        <v>509.3</v>
      </c>
      <c r="J275" s="188">
        <f>J276</f>
        <v>509.3</v>
      </c>
    </row>
    <row r="276" spans="1:10" ht="37.5">
      <c r="A276" s="26"/>
      <c r="B276" s="108" t="s">
        <v>172</v>
      </c>
      <c r="C276" s="11" t="s">
        <v>59</v>
      </c>
      <c r="D276" s="11" t="s">
        <v>52</v>
      </c>
      <c r="E276" s="1" t="s">
        <v>52</v>
      </c>
      <c r="F276" s="1" t="s">
        <v>342</v>
      </c>
      <c r="G276" s="12"/>
      <c r="H276" s="62">
        <f>SUM(H277:H277)</f>
        <v>509.3</v>
      </c>
      <c r="I276" s="62">
        <f>SUM(I277:I277)</f>
        <v>509.3</v>
      </c>
      <c r="J276" s="188">
        <f>SUM(J277:J277)</f>
        <v>509.3</v>
      </c>
    </row>
    <row r="277" spans="1:10" ht="36">
      <c r="A277" s="26"/>
      <c r="B277" s="171" t="s">
        <v>199</v>
      </c>
      <c r="C277" s="19" t="s">
        <v>59</v>
      </c>
      <c r="D277" s="19" t="s">
        <v>52</v>
      </c>
      <c r="E277" s="19" t="s">
        <v>52</v>
      </c>
      <c r="F277" s="19" t="s">
        <v>342</v>
      </c>
      <c r="G277" s="19" t="s">
        <v>192</v>
      </c>
      <c r="H277" s="68">
        <f>490+19.3</f>
        <v>509.3</v>
      </c>
      <c r="I277" s="68">
        <f>490+19.3</f>
        <v>509.3</v>
      </c>
      <c r="J277" s="99">
        <f>490+19.3</f>
        <v>509.3</v>
      </c>
    </row>
    <row r="278" spans="1:10" ht="56.25">
      <c r="A278" s="26"/>
      <c r="B278" s="133" t="s">
        <v>346</v>
      </c>
      <c r="C278" s="16" t="s">
        <v>59</v>
      </c>
      <c r="D278" s="16" t="s">
        <v>52</v>
      </c>
      <c r="E278" s="17" t="s">
        <v>52</v>
      </c>
      <c r="F278" s="17" t="s">
        <v>344</v>
      </c>
      <c r="G278" s="18"/>
      <c r="H278" s="62">
        <f>H279</f>
        <v>330</v>
      </c>
      <c r="I278" s="62">
        <f>I279</f>
        <v>330</v>
      </c>
      <c r="J278" s="188">
        <f>J279</f>
        <v>330</v>
      </c>
    </row>
    <row r="279" spans="1:10" ht="56.25">
      <c r="A279" s="26"/>
      <c r="B279" s="117" t="s">
        <v>173</v>
      </c>
      <c r="C279" s="16" t="s">
        <v>59</v>
      </c>
      <c r="D279" s="16" t="s">
        <v>52</v>
      </c>
      <c r="E279" s="17" t="s">
        <v>52</v>
      </c>
      <c r="F279" s="17" t="s">
        <v>345</v>
      </c>
      <c r="G279" s="18"/>
      <c r="H279" s="62">
        <f>SUM(H280:H280)</f>
        <v>330</v>
      </c>
      <c r="I279" s="62">
        <f>SUM(I280:I280)</f>
        <v>330</v>
      </c>
      <c r="J279" s="188">
        <f>SUM(J280:J280)</f>
        <v>330</v>
      </c>
    </row>
    <row r="280" spans="1:10" ht="36">
      <c r="A280" s="26"/>
      <c r="B280" s="106" t="s">
        <v>199</v>
      </c>
      <c r="C280" s="8" t="s">
        <v>59</v>
      </c>
      <c r="D280" s="8" t="s">
        <v>52</v>
      </c>
      <c r="E280" s="8" t="s">
        <v>52</v>
      </c>
      <c r="F280" s="8" t="s">
        <v>345</v>
      </c>
      <c r="G280" s="8" t="s">
        <v>192</v>
      </c>
      <c r="H280" s="70">
        <v>330</v>
      </c>
      <c r="I280" s="70">
        <v>330</v>
      </c>
      <c r="J280" s="13">
        <v>330</v>
      </c>
    </row>
    <row r="281" spans="1:10" ht="56.25">
      <c r="A281" s="26"/>
      <c r="B281" s="133" t="s">
        <v>349</v>
      </c>
      <c r="C281" s="3" t="s">
        <v>59</v>
      </c>
      <c r="D281" s="3" t="s">
        <v>52</v>
      </c>
      <c r="E281" s="4" t="s">
        <v>52</v>
      </c>
      <c r="F281" s="4" t="s">
        <v>347</v>
      </c>
      <c r="G281" s="15"/>
      <c r="H281" s="66">
        <f>H282+H284+H286+H288+H290+H292</f>
        <v>17068.100000000002</v>
      </c>
      <c r="I281" s="66">
        <f>I282+I284+I286+I288+I290+I292</f>
        <v>9663.1</v>
      </c>
      <c r="J281" s="186">
        <f>J282+J284+J286+J288+J290+J292</f>
        <v>9663.1</v>
      </c>
    </row>
    <row r="282" spans="1:10" ht="37.5">
      <c r="A282" s="26"/>
      <c r="B282" s="136" t="s">
        <v>297</v>
      </c>
      <c r="C282" s="16" t="s">
        <v>59</v>
      </c>
      <c r="D282" s="16" t="s">
        <v>52</v>
      </c>
      <c r="E282" s="17" t="s">
        <v>52</v>
      </c>
      <c r="F282" s="17" t="s">
        <v>348</v>
      </c>
      <c r="G282" s="18"/>
      <c r="H282" s="62">
        <f>H283</f>
        <v>8757.300000000001</v>
      </c>
      <c r="I282" s="62">
        <f>I283</f>
        <v>7501.9</v>
      </c>
      <c r="J282" s="188">
        <f>J283</f>
        <v>7501.9</v>
      </c>
    </row>
    <row r="283" spans="1:10" ht="36">
      <c r="A283" s="26"/>
      <c r="B283" s="107" t="s">
        <v>204</v>
      </c>
      <c r="C283" s="9" t="s">
        <v>59</v>
      </c>
      <c r="D283" s="9" t="s">
        <v>52</v>
      </c>
      <c r="E283" s="9" t="s">
        <v>52</v>
      </c>
      <c r="F283" s="9" t="s">
        <v>348</v>
      </c>
      <c r="G283" s="8" t="s">
        <v>196</v>
      </c>
      <c r="H283" s="70">
        <f>3953.3+3683.9+1120.1</f>
        <v>8757.300000000001</v>
      </c>
      <c r="I283" s="70">
        <f>3953.3+3947.2-398.6</f>
        <v>7501.9</v>
      </c>
      <c r="J283" s="13">
        <f>3953.3+3947.2-398.6</f>
        <v>7501.9</v>
      </c>
    </row>
    <row r="284" spans="1:10" ht="37.5">
      <c r="A284" s="26"/>
      <c r="B284" s="117" t="s">
        <v>174</v>
      </c>
      <c r="C284" s="16" t="s">
        <v>59</v>
      </c>
      <c r="D284" s="16" t="s">
        <v>52</v>
      </c>
      <c r="E284" s="17" t="s">
        <v>52</v>
      </c>
      <c r="F284" s="17" t="s">
        <v>351</v>
      </c>
      <c r="G284" s="18"/>
      <c r="H284" s="62">
        <f>H285</f>
        <v>645</v>
      </c>
      <c r="I284" s="62">
        <f>I285</f>
        <v>645</v>
      </c>
      <c r="J284" s="188">
        <f>J285</f>
        <v>645</v>
      </c>
    </row>
    <row r="285" spans="1:10" ht="36">
      <c r="A285" s="26"/>
      <c r="B285" s="93" t="s">
        <v>199</v>
      </c>
      <c r="C285" s="8" t="s">
        <v>59</v>
      </c>
      <c r="D285" s="8" t="s">
        <v>52</v>
      </c>
      <c r="E285" s="8" t="s">
        <v>52</v>
      </c>
      <c r="F285" s="8" t="s">
        <v>351</v>
      </c>
      <c r="G285" s="8" t="s">
        <v>192</v>
      </c>
      <c r="H285" s="70">
        <v>645</v>
      </c>
      <c r="I285" s="70">
        <v>645</v>
      </c>
      <c r="J285" s="13">
        <v>645</v>
      </c>
    </row>
    <row r="286" spans="1:10" ht="18.75">
      <c r="A286" s="26"/>
      <c r="B286" s="108" t="s">
        <v>350</v>
      </c>
      <c r="C286" s="16" t="s">
        <v>59</v>
      </c>
      <c r="D286" s="16" t="s">
        <v>52</v>
      </c>
      <c r="E286" s="17" t="s">
        <v>52</v>
      </c>
      <c r="F286" s="17" t="s">
        <v>352</v>
      </c>
      <c r="G286" s="18"/>
      <c r="H286" s="62">
        <f>H287</f>
        <v>20</v>
      </c>
      <c r="I286" s="62">
        <f>I287</f>
        <v>20</v>
      </c>
      <c r="J286" s="188">
        <f>J287</f>
        <v>20</v>
      </c>
    </row>
    <row r="287" spans="1:10" ht="36">
      <c r="A287" s="26"/>
      <c r="B287" s="93" t="s">
        <v>199</v>
      </c>
      <c r="C287" s="8" t="s">
        <v>59</v>
      </c>
      <c r="D287" s="8" t="s">
        <v>52</v>
      </c>
      <c r="E287" s="8" t="s">
        <v>52</v>
      </c>
      <c r="F287" s="8" t="s">
        <v>352</v>
      </c>
      <c r="G287" s="8" t="s">
        <v>192</v>
      </c>
      <c r="H287" s="70">
        <v>20</v>
      </c>
      <c r="I287" s="70">
        <v>20</v>
      </c>
      <c r="J287" s="13">
        <v>20</v>
      </c>
    </row>
    <row r="288" spans="1:10" ht="18.75">
      <c r="A288" s="26"/>
      <c r="B288" s="108" t="s">
        <v>354</v>
      </c>
      <c r="C288" s="16" t="s">
        <v>59</v>
      </c>
      <c r="D288" s="16" t="s">
        <v>52</v>
      </c>
      <c r="E288" s="17" t="s">
        <v>52</v>
      </c>
      <c r="F288" s="17" t="s">
        <v>353</v>
      </c>
      <c r="G288" s="18"/>
      <c r="H288" s="62">
        <f>H289</f>
        <v>85</v>
      </c>
      <c r="I288" s="62">
        <f>I289</f>
        <v>85</v>
      </c>
      <c r="J288" s="188">
        <f>J289</f>
        <v>85</v>
      </c>
    </row>
    <row r="289" spans="1:10" ht="36">
      <c r="A289" s="26"/>
      <c r="B289" s="93" t="s">
        <v>199</v>
      </c>
      <c r="C289" s="8" t="s">
        <v>59</v>
      </c>
      <c r="D289" s="8" t="s">
        <v>52</v>
      </c>
      <c r="E289" s="8" t="s">
        <v>52</v>
      </c>
      <c r="F289" s="8" t="s">
        <v>353</v>
      </c>
      <c r="G289" s="8" t="s">
        <v>192</v>
      </c>
      <c r="H289" s="70">
        <v>85</v>
      </c>
      <c r="I289" s="70">
        <v>85</v>
      </c>
      <c r="J289" s="13">
        <v>85</v>
      </c>
    </row>
    <row r="290" spans="1:10" ht="37.5">
      <c r="A290" s="26"/>
      <c r="B290" s="137" t="s">
        <v>241</v>
      </c>
      <c r="C290" s="16" t="s">
        <v>59</v>
      </c>
      <c r="D290" s="16" t="s">
        <v>52</v>
      </c>
      <c r="E290" s="17" t="s">
        <v>52</v>
      </c>
      <c r="F290" s="17" t="s">
        <v>355</v>
      </c>
      <c r="G290" s="18"/>
      <c r="H290" s="62">
        <f>H291</f>
        <v>2005.2</v>
      </c>
      <c r="I290" s="62">
        <f>I291</f>
        <v>1411.2</v>
      </c>
      <c r="J290" s="188">
        <f>J291</f>
        <v>1411.2</v>
      </c>
    </row>
    <row r="291" spans="1:10" ht="36">
      <c r="A291" s="26"/>
      <c r="B291" s="107" t="s">
        <v>204</v>
      </c>
      <c r="C291" s="9" t="s">
        <v>59</v>
      </c>
      <c r="D291" s="9" t="s">
        <v>52</v>
      </c>
      <c r="E291" s="9" t="s">
        <v>52</v>
      </c>
      <c r="F291" s="9" t="s">
        <v>355</v>
      </c>
      <c r="G291" s="8" t="s">
        <v>196</v>
      </c>
      <c r="H291" s="70">
        <f>1234.8+176.4+712.8-118.8</f>
        <v>2005.2</v>
      </c>
      <c r="I291" s="70">
        <f>1234.8+176.4</f>
        <v>1411.2</v>
      </c>
      <c r="J291" s="13">
        <f>1234.8+176.4</f>
        <v>1411.2</v>
      </c>
    </row>
    <row r="292" spans="1:10" ht="37.5">
      <c r="A292" s="26"/>
      <c r="B292" s="137" t="s">
        <v>697</v>
      </c>
      <c r="C292" s="16" t="s">
        <v>59</v>
      </c>
      <c r="D292" s="16" t="s">
        <v>52</v>
      </c>
      <c r="E292" s="17" t="s">
        <v>52</v>
      </c>
      <c r="F292" s="17" t="s">
        <v>564</v>
      </c>
      <c r="G292" s="18"/>
      <c r="H292" s="61">
        <f>H293</f>
        <v>5555.6</v>
      </c>
      <c r="I292" s="61">
        <f>I293</f>
        <v>0</v>
      </c>
      <c r="J292" s="251">
        <f>J293</f>
        <v>0</v>
      </c>
    </row>
    <row r="293" spans="1:10" ht="36">
      <c r="A293" s="26"/>
      <c r="B293" s="93" t="s">
        <v>550</v>
      </c>
      <c r="C293" s="9" t="s">
        <v>59</v>
      </c>
      <c r="D293" s="9" t="s">
        <v>52</v>
      </c>
      <c r="E293" s="9" t="s">
        <v>52</v>
      </c>
      <c r="F293" s="9" t="s">
        <v>564</v>
      </c>
      <c r="G293" s="9" t="s">
        <v>196</v>
      </c>
      <c r="H293" s="70">
        <f>555.6+5000</f>
        <v>5555.6</v>
      </c>
      <c r="I293" s="70">
        <v>0</v>
      </c>
      <c r="J293" s="13">
        <v>0</v>
      </c>
    </row>
    <row r="294" spans="1:10" ht="18.75">
      <c r="A294" s="26"/>
      <c r="B294" s="98" t="s">
        <v>26</v>
      </c>
      <c r="C294" s="22" t="s">
        <v>59</v>
      </c>
      <c r="D294" s="22" t="s">
        <v>52</v>
      </c>
      <c r="E294" s="23" t="s">
        <v>52</v>
      </c>
      <c r="F294" s="23" t="s">
        <v>88</v>
      </c>
      <c r="G294" s="28"/>
      <c r="H294" s="66">
        <f aca="true" t="shared" si="32" ref="H294:J296">H295</f>
        <v>299.2</v>
      </c>
      <c r="I294" s="66">
        <f t="shared" si="32"/>
        <v>0</v>
      </c>
      <c r="J294" s="186">
        <f t="shared" si="32"/>
        <v>0</v>
      </c>
    </row>
    <row r="295" spans="1:10" ht="18.75">
      <c r="A295" s="26"/>
      <c r="B295" s="96" t="s">
        <v>35</v>
      </c>
      <c r="C295" s="22" t="s">
        <v>59</v>
      </c>
      <c r="D295" s="22" t="s">
        <v>52</v>
      </c>
      <c r="E295" s="23" t="s">
        <v>52</v>
      </c>
      <c r="F295" s="23" t="s">
        <v>89</v>
      </c>
      <c r="G295" s="28"/>
      <c r="H295" s="66">
        <f t="shared" si="32"/>
        <v>299.2</v>
      </c>
      <c r="I295" s="66">
        <f t="shared" si="32"/>
        <v>0</v>
      </c>
      <c r="J295" s="186">
        <f t="shared" si="32"/>
        <v>0</v>
      </c>
    </row>
    <row r="296" spans="1:10" ht="18.75">
      <c r="A296" s="26"/>
      <c r="B296" s="96" t="s">
        <v>35</v>
      </c>
      <c r="C296" s="22" t="s">
        <v>59</v>
      </c>
      <c r="D296" s="22" t="s">
        <v>52</v>
      </c>
      <c r="E296" s="23" t="s">
        <v>52</v>
      </c>
      <c r="F296" s="23" t="s">
        <v>90</v>
      </c>
      <c r="G296" s="28"/>
      <c r="H296" s="66">
        <f t="shared" si="32"/>
        <v>299.2</v>
      </c>
      <c r="I296" s="66">
        <f t="shared" si="32"/>
        <v>0</v>
      </c>
      <c r="J296" s="186">
        <f t="shared" si="32"/>
        <v>0</v>
      </c>
    </row>
    <row r="297" spans="1:10" ht="37.5">
      <c r="A297" s="26"/>
      <c r="B297" s="127" t="s">
        <v>297</v>
      </c>
      <c r="C297" s="5" t="s">
        <v>59</v>
      </c>
      <c r="D297" s="5" t="s">
        <v>52</v>
      </c>
      <c r="E297" s="6" t="s">
        <v>52</v>
      </c>
      <c r="F297" s="6" t="s">
        <v>413</v>
      </c>
      <c r="G297" s="6"/>
      <c r="H297" s="77">
        <f>SUM(H298:H298)</f>
        <v>299.2</v>
      </c>
      <c r="I297" s="77">
        <f>SUM(I298:I298)</f>
        <v>0</v>
      </c>
      <c r="J297" s="223">
        <f>SUM(J298:J298)</f>
        <v>0</v>
      </c>
    </row>
    <row r="298" spans="1:10" ht="36">
      <c r="A298" s="26"/>
      <c r="B298" s="93" t="s">
        <v>550</v>
      </c>
      <c r="C298" s="9" t="s">
        <v>59</v>
      </c>
      <c r="D298" s="9" t="s">
        <v>52</v>
      </c>
      <c r="E298" s="9" t="s">
        <v>52</v>
      </c>
      <c r="F298" s="9" t="s">
        <v>413</v>
      </c>
      <c r="G298" s="9" t="s">
        <v>196</v>
      </c>
      <c r="H298" s="70">
        <v>299.2</v>
      </c>
      <c r="I298" s="70">
        <v>0</v>
      </c>
      <c r="J298" s="13">
        <v>0</v>
      </c>
    </row>
    <row r="299" spans="1:10" ht="18.75">
      <c r="A299" s="26"/>
      <c r="B299" s="96" t="s">
        <v>25</v>
      </c>
      <c r="C299" s="3" t="s">
        <v>59</v>
      </c>
      <c r="D299" s="3" t="s">
        <v>52</v>
      </c>
      <c r="E299" s="4" t="s">
        <v>27</v>
      </c>
      <c r="F299" s="23"/>
      <c r="G299" s="23"/>
      <c r="H299" s="66">
        <f aca="true" t="shared" si="33" ref="H299:J301">H300</f>
        <v>956</v>
      </c>
      <c r="I299" s="66">
        <f t="shared" si="33"/>
        <v>956</v>
      </c>
      <c r="J299" s="186">
        <f t="shared" si="33"/>
        <v>956</v>
      </c>
    </row>
    <row r="300" spans="1:10" ht="56.25">
      <c r="A300" s="26"/>
      <c r="B300" s="96" t="s">
        <v>232</v>
      </c>
      <c r="C300" s="22" t="s">
        <v>59</v>
      </c>
      <c r="D300" s="22" t="s">
        <v>52</v>
      </c>
      <c r="E300" s="23" t="s">
        <v>27</v>
      </c>
      <c r="F300" s="23" t="s">
        <v>339</v>
      </c>
      <c r="G300" s="28"/>
      <c r="H300" s="66">
        <f t="shared" si="33"/>
        <v>956</v>
      </c>
      <c r="I300" s="66">
        <f t="shared" si="33"/>
        <v>956</v>
      </c>
      <c r="J300" s="186">
        <f t="shared" si="33"/>
        <v>956</v>
      </c>
    </row>
    <row r="301" spans="1:10" ht="18.75">
      <c r="A301" s="26"/>
      <c r="B301" s="96" t="s">
        <v>294</v>
      </c>
      <c r="C301" s="22" t="s">
        <v>59</v>
      </c>
      <c r="D301" s="22" t="s">
        <v>52</v>
      </c>
      <c r="E301" s="23" t="s">
        <v>27</v>
      </c>
      <c r="F301" s="23" t="s">
        <v>340</v>
      </c>
      <c r="G301" s="28"/>
      <c r="H301" s="66">
        <f t="shared" si="33"/>
        <v>956</v>
      </c>
      <c r="I301" s="66">
        <f t="shared" si="33"/>
        <v>956</v>
      </c>
      <c r="J301" s="186">
        <f t="shared" si="33"/>
        <v>956</v>
      </c>
    </row>
    <row r="302" spans="1:10" ht="37.5">
      <c r="A302" s="26"/>
      <c r="B302" s="110" t="s">
        <v>358</v>
      </c>
      <c r="C302" s="3" t="s">
        <v>59</v>
      </c>
      <c r="D302" s="3" t="s">
        <v>52</v>
      </c>
      <c r="E302" s="4" t="s">
        <v>27</v>
      </c>
      <c r="F302" s="4" t="s">
        <v>356</v>
      </c>
      <c r="G302" s="15"/>
      <c r="H302" s="66">
        <f aca="true" t="shared" si="34" ref="H302:J303">H303</f>
        <v>956</v>
      </c>
      <c r="I302" s="66">
        <f t="shared" si="34"/>
        <v>956</v>
      </c>
      <c r="J302" s="186">
        <f t="shared" si="34"/>
        <v>956</v>
      </c>
    </row>
    <row r="303" spans="1:10" ht="37.5">
      <c r="A303" s="26"/>
      <c r="B303" s="117" t="s">
        <v>239</v>
      </c>
      <c r="C303" s="16" t="s">
        <v>59</v>
      </c>
      <c r="D303" s="16" t="s">
        <v>52</v>
      </c>
      <c r="E303" s="17" t="s">
        <v>27</v>
      </c>
      <c r="F303" s="17" t="s">
        <v>357</v>
      </c>
      <c r="G303" s="18"/>
      <c r="H303" s="62">
        <f t="shared" si="34"/>
        <v>956</v>
      </c>
      <c r="I303" s="62">
        <f t="shared" si="34"/>
        <v>956</v>
      </c>
      <c r="J303" s="188">
        <f t="shared" si="34"/>
        <v>956</v>
      </c>
    </row>
    <row r="304" spans="1:10" ht="36">
      <c r="A304" s="26"/>
      <c r="B304" s="107" t="s">
        <v>550</v>
      </c>
      <c r="C304" s="8" t="s">
        <v>59</v>
      </c>
      <c r="D304" s="8" t="s">
        <v>52</v>
      </c>
      <c r="E304" s="8" t="s">
        <v>27</v>
      </c>
      <c r="F304" s="8" t="s">
        <v>357</v>
      </c>
      <c r="G304" s="8" t="s">
        <v>196</v>
      </c>
      <c r="H304" s="70">
        <f>1196.5-240.6+0.1</f>
        <v>956</v>
      </c>
      <c r="I304" s="70">
        <f>1196.5-240.6+0.1</f>
        <v>956</v>
      </c>
      <c r="J304" s="13">
        <f>1196.5-240.6+0.1</f>
        <v>956</v>
      </c>
    </row>
    <row r="305" spans="1:10" ht="18.75">
      <c r="A305" s="26"/>
      <c r="B305" s="96" t="s">
        <v>8</v>
      </c>
      <c r="C305" s="22" t="s">
        <v>59</v>
      </c>
      <c r="D305" s="22" t="s">
        <v>58</v>
      </c>
      <c r="E305" s="23"/>
      <c r="F305" s="28"/>
      <c r="G305" s="28"/>
      <c r="H305" s="66">
        <f>H306</f>
        <v>2256.4</v>
      </c>
      <c r="I305" s="66">
        <f>I306</f>
        <v>1350</v>
      </c>
      <c r="J305" s="186">
        <f>J306</f>
        <v>1350</v>
      </c>
    </row>
    <row r="306" spans="1:11" ht="18.75">
      <c r="A306" s="26"/>
      <c r="B306" s="96" t="s">
        <v>9</v>
      </c>
      <c r="C306" s="22" t="s">
        <v>59</v>
      </c>
      <c r="D306" s="22" t="s">
        <v>58</v>
      </c>
      <c r="E306" s="23" t="s">
        <v>55</v>
      </c>
      <c r="F306" s="23"/>
      <c r="G306" s="28"/>
      <c r="H306" s="66">
        <f>H312+H307</f>
        <v>2256.4</v>
      </c>
      <c r="I306" s="66">
        <f>I312</f>
        <v>1350</v>
      </c>
      <c r="J306" s="186">
        <f>J312</f>
        <v>1350</v>
      </c>
      <c r="K306" s="204"/>
    </row>
    <row r="307" spans="1:11" ht="37.5">
      <c r="A307" s="26"/>
      <c r="B307" s="116" t="s">
        <v>584</v>
      </c>
      <c r="C307" s="3" t="s">
        <v>59</v>
      </c>
      <c r="D307" s="3" t="s">
        <v>58</v>
      </c>
      <c r="E307" s="4" t="s">
        <v>55</v>
      </c>
      <c r="F307" s="4" t="s">
        <v>285</v>
      </c>
      <c r="G307" s="4"/>
      <c r="H307" s="63">
        <f aca="true" t="shared" si="35" ref="H307:J308">H308</f>
        <v>118.9</v>
      </c>
      <c r="I307" s="63">
        <f t="shared" si="35"/>
        <v>0</v>
      </c>
      <c r="J307" s="246">
        <f t="shared" si="35"/>
        <v>0</v>
      </c>
      <c r="K307" s="204"/>
    </row>
    <row r="308" spans="1:11" ht="18.75">
      <c r="A308" s="26"/>
      <c r="B308" s="116" t="s">
        <v>286</v>
      </c>
      <c r="C308" s="22" t="s">
        <v>59</v>
      </c>
      <c r="D308" s="22" t="s">
        <v>58</v>
      </c>
      <c r="E308" s="23" t="s">
        <v>55</v>
      </c>
      <c r="F308" s="23" t="s">
        <v>287</v>
      </c>
      <c r="G308" s="28"/>
      <c r="H308" s="63">
        <f>H309</f>
        <v>118.9</v>
      </c>
      <c r="I308" s="63">
        <f t="shared" si="35"/>
        <v>0</v>
      </c>
      <c r="J308" s="63">
        <f t="shared" si="35"/>
        <v>0</v>
      </c>
      <c r="K308" s="204"/>
    </row>
    <row r="309" spans="1:11" ht="37.5">
      <c r="A309" s="26"/>
      <c r="B309" s="95" t="s">
        <v>457</v>
      </c>
      <c r="C309" s="11" t="s">
        <v>59</v>
      </c>
      <c r="D309" s="11" t="s">
        <v>58</v>
      </c>
      <c r="E309" s="1" t="s">
        <v>55</v>
      </c>
      <c r="F309" s="1" t="s">
        <v>455</v>
      </c>
      <c r="G309" s="12"/>
      <c r="H309" s="61">
        <f>H310</f>
        <v>118.9</v>
      </c>
      <c r="I309" s="61">
        <f>I310</f>
        <v>0</v>
      </c>
      <c r="J309" s="61">
        <f>J310</f>
        <v>0</v>
      </c>
      <c r="K309" s="204"/>
    </row>
    <row r="310" spans="1:11" ht="18.75">
      <c r="A310" s="26"/>
      <c r="B310" s="108" t="s">
        <v>774</v>
      </c>
      <c r="C310" s="11" t="s">
        <v>59</v>
      </c>
      <c r="D310" s="11" t="s">
        <v>58</v>
      </c>
      <c r="E310" s="1" t="s">
        <v>55</v>
      </c>
      <c r="F310" s="1" t="s">
        <v>773</v>
      </c>
      <c r="G310" s="1"/>
      <c r="H310" s="62">
        <f>SUM(H311:H311)</f>
        <v>118.9</v>
      </c>
      <c r="I310" s="62">
        <f>SUM(I311:I311)</f>
        <v>0</v>
      </c>
      <c r="J310" s="188">
        <f>SUM(J311:J311)</f>
        <v>0</v>
      </c>
      <c r="K310" s="204"/>
    </row>
    <row r="311" spans="1:11" ht="36">
      <c r="A311" s="26"/>
      <c r="B311" s="147" t="s">
        <v>199</v>
      </c>
      <c r="C311" s="55" t="s">
        <v>59</v>
      </c>
      <c r="D311" s="55" t="s">
        <v>58</v>
      </c>
      <c r="E311" s="55" t="s">
        <v>55</v>
      </c>
      <c r="F311" s="55" t="s">
        <v>773</v>
      </c>
      <c r="G311" s="55" t="s">
        <v>192</v>
      </c>
      <c r="H311" s="90">
        <v>118.9</v>
      </c>
      <c r="I311" s="90">
        <v>0</v>
      </c>
      <c r="J311" s="276">
        <v>0</v>
      </c>
      <c r="K311" s="204"/>
    </row>
    <row r="312" spans="1:10" ht="18.75">
      <c r="A312" s="26"/>
      <c r="B312" s="98" t="s">
        <v>26</v>
      </c>
      <c r="C312" s="22" t="s">
        <v>59</v>
      </c>
      <c r="D312" s="22" t="s">
        <v>58</v>
      </c>
      <c r="E312" s="23" t="s">
        <v>55</v>
      </c>
      <c r="F312" s="23" t="s">
        <v>88</v>
      </c>
      <c r="G312" s="28"/>
      <c r="H312" s="66">
        <f aca="true" t="shared" si="36" ref="H312:J314">H313</f>
        <v>2137.5</v>
      </c>
      <c r="I312" s="66">
        <f t="shared" si="36"/>
        <v>1350</v>
      </c>
      <c r="J312" s="186">
        <f t="shared" si="36"/>
        <v>1350</v>
      </c>
    </row>
    <row r="313" spans="1:10" ht="18.75">
      <c r="A313" s="26"/>
      <c r="B313" s="96" t="s">
        <v>35</v>
      </c>
      <c r="C313" s="22" t="s">
        <v>59</v>
      </c>
      <c r="D313" s="22" t="s">
        <v>58</v>
      </c>
      <c r="E313" s="23" t="s">
        <v>55</v>
      </c>
      <c r="F313" s="23" t="s">
        <v>89</v>
      </c>
      <c r="G313" s="28"/>
      <c r="H313" s="66">
        <f t="shared" si="36"/>
        <v>2137.5</v>
      </c>
      <c r="I313" s="66">
        <f t="shared" si="36"/>
        <v>1350</v>
      </c>
      <c r="J313" s="186">
        <f t="shared" si="36"/>
        <v>1350</v>
      </c>
    </row>
    <row r="314" spans="1:10" ht="18.75">
      <c r="A314" s="26"/>
      <c r="B314" s="96" t="s">
        <v>35</v>
      </c>
      <c r="C314" s="22" t="s">
        <v>59</v>
      </c>
      <c r="D314" s="22" t="s">
        <v>58</v>
      </c>
      <c r="E314" s="23" t="s">
        <v>55</v>
      </c>
      <c r="F314" s="23" t="s">
        <v>90</v>
      </c>
      <c r="G314" s="28"/>
      <c r="H314" s="66">
        <f t="shared" si="36"/>
        <v>2137.5</v>
      </c>
      <c r="I314" s="66">
        <f t="shared" si="36"/>
        <v>1350</v>
      </c>
      <c r="J314" s="186">
        <f t="shared" si="36"/>
        <v>1350</v>
      </c>
    </row>
    <row r="315" spans="1:10" ht="18.75">
      <c r="A315" s="26"/>
      <c r="B315" s="127" t="s">
        <v>120</v>
      </c>
      <c r="C315" s="5" t="s">
        <v>59</v>
      </c>
      <c r="D315" s="5" t="s">
        <v>58</v>
      </c>
      <c r="E315" s="6" t="s">
        <v>55</v>
      </c>
      <c r="F315" s="6" t="s">
        <v>113</v>
      </c>
      <c r="G315" s="6"/>
      <c r="H315" s="77">
        <f>SUM(H316:H316)</f>
        <v>2137.5</v>
      </c>
      <c r="I315" s="77">
        <f>SUM(I316:I316)</f>
        <v>1350</v>
      </c>
      <c r="J315" s="223">
        <f>SUM(J316:J316)</f>
        <v>1350</v>
      </c>
    </row>
    <row r="316" spans="1:10" ht="36">
      <c r="A316" s="26"/>
      <c r="B316" s="93" t="s">
        <v>199</v>
      </c>
      <c r="C316" s="9" t="s">
        <v>59</v>
      </c>
      <c r="D316" s="9" t="s">
        <v>58</v>
      </c>
      <c r="E316" s="9" t="s">
        <v>55</v>
      </c>
      <c r="F316" s="9" t="s">
        <v>113</v>
      </c>
      <c r="G316" s="9" t="s">
        <v>192</v>
      </c>
      <c r="H316" s="70">
        <f>1350+68.6+352+366.9</f>
        <v>2137.5</v>
      </c>
      <c r="I316" s="70">
        <v>1350</v>
      </c>
      <c r="J316" s="13">
        <v>1350</v>
      </c>
    </row>
    <row r="317" spans="1:10" ht="18.75">
      <c r="A317" s="26"/>
      <c r="B317" s="96" t="s">
        <v>46</v>
      </c>
      <c r="C317" s="22" t="s">
        <v>59</v>
      </c>
      <c r="D317" s="22" t="s">
        <v>28</v>
      </c>
      <c r="E317" s="23"/>
      <c r="F317" s="28"/>
      <c r="G317" s="28"/>
      <c r="H317" s="66">
        <f>H318+H324+H348</f>
        <v>101409.9</v>
      </c>
      <c r="I317" s="66">
        <f>I318+I324+I348</f>
        <v>176472.7</v>
      </c>
      <c r="J317" s="186">
        <f>J318+J324+J348</f>
        <v>104494.9</v>
      </c>
    </row>
    <row r="318" spans="1:11" ht="18.75">
      <c r="A318" s="26"/>
      <c r="B318" s="96" t="s">
        <v>20</v>
      </c>
      <c r="C318" s="22" t="s">
        <v>59</v>
      </c>
      <c r="D318" s="22" t="s">
        <v>28</v>
      </c>
      <c r="E318" s="23" t="s">
        <v>54</v>
      </c>
      <c r="F318" s="28"/>
      <c r="G318" s="28"/>
      <c r="H318" s="66">
        <f aca="true" t="shared" si="37" ref="H318:J322">H319</f>
        <v>23674.799999999996</v>
      </c>
      <c r="I318" s="66">
        <f t="shared" si="37"/>
        <v>23565.8</v>
      </c>
      <c r="J318" s="186">
        <f t="shared" si="37"/>
        <v>23565.8</v>
      </c>
      <c r="K318" s="204"/>
    </row>
    <row r="319" spans="1:10" ht="18.75">
      <c r="A319" s="26"/>
      <c r="B319" s="98" t="s">
        <v>26</v>
      </c>
      <c r="C319" s="22" t="s">
        <v>59</v>
      </c>
      <c r="D319" s="22" t="s">
        <v>28</v>
      </c>
      <c r="E319" s="23" t="s">
        <v>54</v>
      </c>
      <c r="F319" s="23" t="s">
        <v>88</v>
      </c>
      <c r="G319" s="28"/>
      <c r="H319" s="66">
        <f t="shared" si="37"/>
        <v>23674.799999999996</v>
      </c>
      <c r="I319" s="66">
        <f t="shared" si="37"/>
        <v>23565.8</v>
      </c>
      <c r="J319" s="186">
        <f t="shared" si="37"/>
        <v>23565.8</v>
      </c>
    </row>
    <row r="320" spans="1:10" ht="18.75">
      <c r="A320" s="26"/>
      <c r="B320" s="96" t="s">
        <v>35</v>
      </c>
      <c r="C320" s="22" t="s">
        <v>59</v>
      </c>
      <c r="D320" s="22" t="s">
        <v>28</v>
      </c>
      <c r="E320" s="23" t="s">
        <v>54</v>
      </c>
      <c r="F320" s="23" t="s">
        <v>89</v>
      </c>
      <c r="G320" s="28"/>
      <c r="H320" s="66">
        <f t="shared" si="37"/>
        <v>23674.799999999996</v>
      </c>
      <c r="I320" s="66">
        <f t="shared" si="37"/>
        <v>23565.8</v>
      </c>
      <c r="J320" s="186">
        <f t="shared" si="37"/>
        <v>23565.8</v>
      </c>
    </row>
    <row r="321" spans="1:10" ht="18.75">
      <c r="A321" s="26"/>
      <c r="B321" s="96" t="s">
        <v>35</v>
      </c>
      <c r="C321" s="22" t="s">
        <v>59</v>
      </c>
      <c r="D321" s="22" t="s">
        <v>28</v>
      </c>
      <c r="E321" s="23" t="s">
        <v>54</v>
      </c>
      <c r="F321" s="23" t="s">
        <v>90</v>
      </c>
      <c r="G321" s="28"/>
      <c r="H321" s="66">
        <f t="shared" si="37"/>
        <v>23674.799999999996</v>
      </c>
      <c r="I321" s="66">
        <f t="shared" si="37"/>
        <v>23565.8</v>
      </c>
      <c r="J321" s="186">
        <f t="shared" si="37"/>
        <v>23565.8</v>
      </c>
    </row>
    <row r="322" spans="1:10" ht="18.75">
      <c r="A322" s="26"/>
      <c r="B322" s="95" t="s">
        <v>189</v>
      </c>
      <c r="C322" s="11" t="s">
        <v>59</v>
      </c>
      <c r="D322" s="11" t="s">
        <v>28</v>
      </c>
      <c r="E322" s="1" t="s">
        <v>54</v>
      </c>
      <c r="F322" s="1" t="s">
        <v>179</v>
      </c>
      <c r="G322" s="12"/>
      <c r="H322" s="62">
        <f t="shared" si="37"/>
        <v>23674.799999999996</v>
      </c>
      <c r="I322" s="62">
        <f t="shared" si="37"/>
        <v>23565.8</v>
      </c>
      <c r="J322" s="188">
        <f t="shared" si="37"/>
        <v>23565.8</v>
      </c>
    </row>
    <row r="323" spans="1:10" ht="18">
      <c r="A323" s="26"/>
      <c r="B323" s="93" t="s">
        <v>205</v>
      </c>
      <c r="C323" s="9" t="s">
        <v>59</v>
      </c>
      <c r="D323" s="9" t="s">
        <v>28</v>
      </c>
      <c r="E323" s="9" t="s">
        <v>54</v>
      </c>
      <c r="F323" s="9" t="s">
        <v>179</v>
      </c>
      <c r="G323" s="9" t="s">
        <v>193</v>
      </c>
      <c r="H323" s="70">
        <f>22005.3+1012.2+0.1+485.6+171.6</f>
        <v>23674.799999999996</v>
      </c>
      <c r="I323" s="70">
        <f>22005.3+1012.2+0.1+548.2</f>
        <v>23565.8</v>
      </c>
      <c r="J323" s="13">
        <f>22005.3+1012.2+0.1+548.2</f>
        <v>23565.8</v>
      </c>
    </row>
    <row r="324" spans="1:11" ht="18.75">
      <c r="A324" s="26"/>
      <c r="B324" s="96" t="s">
        <v>18</v>
      </c>
      <c r="C324" s="22" t="s">
        <v>59</v>
      </c>
      <c r="D324" s="22" t="s">
        <v>28</v>
      </c>
      <c r="E324" s="23" t="s">
        <v>53</v>
      </c>
      <c r="F324" s="28"/>
      <c r="G324" s="28"/>
      <c r="H324" s="66">
        <f>H325+H339</f>
        <v>9553.199999999999</v>
      </c>
      <c r="I324" s="66">
        <f>I325+I339</f>
        <v>12205.3</v>
      </c>
      <c r="J324" s="186">
        <f>J325+J339</f>
        <v>12065.3</v>
      </c>
      <c r="K324" s="204"/>
    </row>
    <row r="325" spans="1:10" ht="37.5">
      <c r="A325" s="26"/>
      <c r="B325" s="96" t="s">
        <v>210</v>
      </c>
      <c r="C325" s="22" t="s">
        <v>59</v>
      </c>
      <c r="D325" s="122" t="s">
        <v>28</v>
      </c>
      <c r="E325" s="123" t="s">
        <v>53</v>
      </c>
      <c r="F325" s="123" t="s">
        <v>338</v>
      </c>
      <c r="G325" s="10"/>
      <c r="H325" s="78">
        <f aca="true" t="shared" si="38" ref="H325:J326">H326</f>
        <v>9116.199999999999</v>
      </c>
      <c r="I325" s="78">
        <f t="shared" si="38"/>
        <v>8814.3</v>
      </c>
      <c r="J325" s="221">
        <f t="shared" si="38"/>
        <v>8814.3</v>
      </c>
    </row>
    <row r="326" spans="1:10" ht="18.75">
      <c r="A326" s="26"/>
      <c r="B326" s="96" t="s">
        <v>294</v>
      </c>
      <c r="C326" s="122" t="s">
        <v>59</v>
      </c>
      <c r="D326" s="122" t="s">
        <v>28</v>
      </c>
      <c r="E326" s="123" t="s">
        <v>53</v>
      </c>
      <c r="F326" s="123" t="s">
        <v>359</v>
      </c>
      <c r="G326" s="10"/>
      <c r="H326" s="78">
        <f t="shared" si="38"/>
        <v>9116.199999999999</v>
      </c>
      <c r="I326" s="78">
        <f t="shared" si="38"/>
        <v>8814.3</v>
      </c>
      <c r="J326" s="221">
        <f t="shared" si="38"/>
        <v>8814.3</v>
      </c>
    </row>
    <row r="327" spans="1:10" ht="75">
      <c r="A327" s="26"/>
      <c r="B327" s="96" t="s">
        <v>362</v>
      </c>
      <c r="C327" s="122" t="s">
        <v>59</v>
      </c>
      <c r="D327" s="122" t="s">
        <v>28</v>
      </c>
      <c r="E327" s="123" t="s">
        <v>53</v>
      </c>
      <c r="F327" s="123" t="s">
        <v>360</v>
      </c>
      <c r="G327" s="10"/>
      <c r="H327" s="78">
        <f>H328+H330+H332+H334+H337</f>
        <v>9116.199999999999</v>
      </c>
      <c r="I327" s="78">
        <f>I328+I330+I332+I334+I337</f>
        <v>8814.3</v>
      </c>
      <c r="J327" s="221">
        <f>J328+J330+J332+J334+J337</f>
        <v>8814.3</v>
      </c>
    </row>
    <row r="328" spans="1:10" ht="150">
      <c r="A328" s="26"/>
      <c r="B328" s="192" t="s">
        <v>263</v>
      </c>
      <c r="C328" s="29" t="s">
        <v>59</v>
      </c>
      <c r="D328" s="29" t="s">
        <v>28</v>
      </c>
      <c r="E328" s="30" t="s">
        <v>53</v>
      </c>
      <c r="F328" s="30" t="s">
        <v>363</v>
      </c>
      <c r="G328" s="21"/>
      <c r="H328" s="65">
        <f>H329</f>
        <v>896.9</v>
      </c>
      <c r="I328" s="65">
        <f>I329</f>
        <v>795</v>
      </c>
      <c r="J328" s="100">
        <f>J329</f>
        <v>795</v>
      </c>
    </row>
    <row r="329" spans="1:10" ht="18">
      <c r="A329" s="26"/>
      <c r="B329" s="93" t="s">
        <v>205</v>
      </c>
      <c r="C329" s="9" t="s">
        <v>59</v>
      </c>
      <c r="D329" s="9" t="s">
        <v>28</v>
      </c>
      <c r="E329" s="9" t="s">
        <v>53</v>
      </c>
      <c r="F329" s="9" t="s">
        <v>363</v>
      </c>
      <c r="G329" s="9" t="s">
        <v>193</v>
      </c>
      <c r="H329" s="70">
        <f>795+101.9</f>
        <v>896.9</v>
      </c>
      <c r="I329" s="70">
        <v>795</v>
      </c>
      <c r="J329" s="13">
        <v>795</v>
      </c>
    </row>
    <row r="330" spans="1:10" ht="150">
      <c r="A330" s="26"/>
      <c r="B330" s="192" t="s">
        <v>264</v>
      </c>
      <c r="C330" s="29" t="s">
        <v>59</v>
      </c>
      <c r="D330" s="29" t="s">
        <v>28</v>
      </c>
      <c r="E330" s="30" t="s">
        <v>53</v>
      </c>
      <c r="F330" s="30" t="s">
        <v>364</v>
      </c>
      <c r="G330" s="21"/>
      <c r="H330" s="65">
        <f>H331</f>
        <v>160</v>
      </c>
      <c r="I330" s="65">
        <f>I331</f>
        <v>160</v>
      </c>
      <c r="J330" s="100">
        <f>J331</f>
        <v>160</v>
      </c>
    </row>
    <row r="331" spans="1:10" ht="18">
      <c r="A331" s="26"/>
      <c r="B331" s="93" t="s">
        <v>205</v>
      </c>
      <c r="C331" s="9" t="s">
        <v>59</v>
      </c>
      <c r="D331" s="9" t="s">
        <v>28</v>
      </c>
      <c r="E331" s="9" t="s">
        <v>53</v>
      </c>
      <c r="F331" s="9" t="s">
        <v>364</v>
      </c>
      <c r="G331" s="9" t="s">
        <v>193</v>
      </c>
      <c r="H331" s="70">
        <v>160</v>
      </c>
      <c r="I331" s="70">
        <v>160</v>
      </c>
      <c r="J331" s="13">
        <v>160</v>
      </c>
    </row>
    <row r="332" spans="1:10" ht="75">
      <c r="A332" s="26"/>
      <c r="B332" s="192" t="s">
        <v>122</v>
      </c>
      <c r="C332" s="29" t="s">
        <v>59</v>
      </c>
      <c r="D332" s="29" t="s">
        <v>28</v>
      </c>
      <c r="E332" s="30" t="s">
        <v>53</v>
      </c>
      <c r="F332" s="30" t="s">
        <v>365</v>
      </c>
      <c r="G332" s="21"/>
      <c r="H332" s="65">
        <f>H333</f>
        <v>720</v>
      </c>
      <c r="I332" s="65">
        <f>I333</f>
        <v>720</v>
      </c>
      <c r="J332" s="100">
        <f>J333</f>
        <v>720</v>
      </c>
    </row>
    <row r="333" spans="1:10" ht="18">
      <c r="A333" s="26"/>
      <c r="B333" s="93" t="s">
        <v>205</v>
      </c>
      <c r="C333" s="9" t="s">
        <v>59</v>
      </c>
      <c r="D333" s="9" t="s">
        <v>28</v>
      </c>
      <c r="E333" s="9" t="s">
        <v>53</v>
      </c>
      <c r="F333" s="9" t="s">
        <v>365</v>
      </c>
      <c r="G333" s="9" t="s">
        <v>193</v>
      </c>
      <c r="H333" s="70">
        <v>720</v>
      </c>
      <c r="I333" s="70">
        <v>720</v>
      </c>
      <c r="J333" s="13">
        <v>720</v>
      </c>
    </row>
    <row r="334" spans="1:10" ht="220.5" customHeight="1">
      <c r="A334" s="26"/>
      <c r="B334" s="193" t="s">
        <v>265</v>
      </c>
      <c r="C334" s="11" t="s">
        <v>59</v>
      </c>
      <c r="D334" s="11" t="s">
        <v>28</v>
      </c>
      <c r="E334" s="1" t="s">
        <v>53</v>
      </c>
      <c r="F334" s="1" t="s">
        <v>366</v>
      </c>
      <c r="G334" s="12"/>
      <c r="H334" s="62">
        <f>H336+H335</f>
        <v>7042.4</v>
      </c>
      <c r="I334" s="62">
        <f>I336+I335</f>
        <v>6842.4</v>
      </c>
      <c r="J334" s="188">
        <f>J336+J335</f>
        <v>6842.4</v>
      </c>
    </row>
    <row r="335" spans="1:10" ht="36">
      <c r="A335" s="26"/>
      <c r="B335" s="194" t="s">
        <v>550</v>
      </c>
      <c r="C335" s="21" t="s">
        <v>59</v>
      </c>
      <c r="D335" s="21" t="s">
        <v>28</v>
      </c>
      <c r="E335" s="21" t="s">
        <v>53</v>
      </c>
      <c r="F335" s="21" t="s">
        <v>366</v>
      </c>
      <c r="G335" s="21" t="s">
        <v>196</v>
      </c>
      <c r="H335" s="68">
        <f>250+4.9</f>
        <v>254.9</v>
      </c>
      <c r="I335" s="68">
        <v>250</v>
      </c>
      <c r="J335" s="99">
        <v>250</v>
      </c>
    </row>
    <row r="336" spans="1:10" ht="18">
      <c r="A336" s="26"/>
      <c r="B336" s="93" t="s">
        <v>200</v>
      </c>
      <c r="C336" s="9" t="s">
        <v>59</v>
      </c>
      <c r="D336" s="9" t="s">
        <v>28</v>
      </c>
      <c r="E336" s="9" t="s">
        <v>53</v>
      </c>
      <c r="F336" s="9" t="s">
        <v>366</v>
      </c>
      <c r="G336" s="9" t="s">
        <v>194</v>
      </c>
      <c r="H336" s="70">
        <f>6592.4+195.1</f>
        <v>6787.5</v>
      </c>
      <c r="I336" s="70">
        <v>6592.4</v>
      </c>
      <c r="J336" s="13">
        <v>6592.4</v>
      </c>
    </row>
    <row r="337" spans="1:10" ht="37.5">
      <c r="A337" s="26"/>
      <c r="B337" s="117" t="s">
        <v>266</v>
      </c>
      <c r="C337" s="16" t="s">
        <v>59</v>
      </c>
      <c r="D337" s="16" t="s">
        <v>28</v>
      </c>
      <c r="E337" s="17" t="s">
        <v>53</v>
      </c>
      <c r="F337" s="17" t="s">
        <v>367</v>
      </c>
      <c r="G337" s="18"/>
      <c r="H337" s="61">
        <f>H338</f>
        <v>296.9</v>
      </c>
      <c r="I337" s="61">
        <f>I338</f>
        <v>296.9</v>
      </c>
      <c r="J337" s="251">
        <f>J338</f>
        <v>296.9</v>
      </c>
    </row>
    <row r="338" spans="1:10" ht="18">
      <c r="A338" s="26"/>
      <c r="B338" s="106" t="s">
        <v>205</v>
      </c>
      <c r="C338" s="8" t="s">
        <v>59</v>
      </c>
      <c r="D338" s="8" t="s">
        <v>28</v>
      </c>
      <c r="E338" s="8" t="s">
        <v>53</v>
      </c>
      <c r="F338" s="8" t="s">
        <v>367</v>
      </c>
      <c r="G338" s="8" t="s">
        <v>193</v>
      </c>
      <c r="H338" s="64">
        <v>296.9</v>
      </c>
      <c r="I338" s="64">
        <v>296.9</v>
      </c>
      <c r="J338" s="253">
        <v>296.9</v>
      </c>
    </row>
    <row r="339" spans="1:10" ht="18.75">
      <c r="A339" s="26"/>
      <c r="B339" s="116" t="s">
        <v>26</v>
      </c>
      <c r="C339" s="3" t="s">
        <v>59</v>
      </c>
      <c r="D339" s="3" t="s">
        <v>28</v>
      </c>
      <c r="E339" s="4" t="s">
        <v>53</v>
      </c>
      <c r="F339" s="4" t="s">
        <v>88</v>
      </c>
      <c r="G339" s="15"/>
      <c r="H339" s="63">
        <f aca="true" t="shared" si="39" ref="H339:J340">H340</f>
        <v>437</v>
      </c>
      <c r="I339" s="63">
        <f t="shared" si="39"/>
        <v>3391</v>
      </c>
      <c r="J339" s="246">
        <f t="shared" si="39"/>
        <v>3251</v>
      </c>
    </row>
    <row r="340" spans="1:10" ht="18.75">
      <c r="A340" s="26"/>
      <c r="B340" s="115" t="s">
        <v>35</v>
      </c>
      <c r="C340" s="16" t="s">
        <v>59</v>
      </c>
      <c r="D340" s="16" t="s">
        <v>28</v>
      </c>
      <c r="E340" s="17" t="s">
        <v>53</v>
      </c>
      <c r="F340" s="17" t="s">
        <v>89</v>
      </c>
      <c r="G340" s="18"/>
      <c r="H340" s="61">
        <f t="shared" si="39"/>
        <v>437</v>
      </c>
      <c r="I340" s="61">
        <f t="shared" si="39"/>
        <v>3391</v>
      </c>
      <c r="J340" s="251">
        <f t="shared" si="39"/>
        <v>3251</v>
      </c>
    </row>
    <row r="341" spans="1:10" ht="18.75">
      <c r="A341" s="26"/>
      <c r="B341" s="115" t="s">
        <v>35</v>
      </c>
      <c r="C341" s="16" t="s">
        <v>59</v>
      </c>
      <c r="D341" s="16" t="s">
        <v>28</v>
      </c>
      <c r="E341" s="17" t="s">
        <v>53</v>
      </c>
      <c r="F341" s="17" t="s">
        <v>90</v>
      </c>
      <c r="G341" s="18"/>
      <c r="H341" s="61">
        <f>H346+H342+H344</f>
        <v>437</v>
      </c>
      <c r="I341" s="61">
        <f>I346+I342+I344</f>
        <v>3391</v>
      </c>
      <c r="J341" s="251">
        <f>J346+J342+J344</f>
        <v>3251</v>
      </c>
    </row>
    <row r="342" spans="1:10" ht="56.25">
      <c r="A342" s="26"/>
      <c r="B342" s="97" t="s">
        <v>713</v>
      </c>
      <c r="C342" s="35" t="s">
        <v>59</v>
      </c>
      <c r="D342" s="35" t="s">
        <v>28</v>
      </c>
      <c r="E342" s="36" t="s">
        <v>53</v>
      </c>
      <c r="F342" s="36" t="s">
        <v>714</v>
      </c>
      <c r="G342" s="19"/>
      <c r="H342" s="190">
        <f>H343</f>
        <v>0</v>
      </c>
      <c r="I342" s="190">
        <f>I343</f>
        <v>0</v>
      </c>
      <c r="J342" s="248">
        <f>J343</f>
        <v>2907</v>
      </c>
    </row>
    <row r="343" spans="1:10" ht="18">
      <c r="A343" s="26"/>
      <c r="B343" s="191" t="s">
        <v>205</v>
      </c>
      <c r="C343" s="7" t="s">
        <v>59</v>
      </c>
      <c r="D343" s="7" t="s">
        <v>28</v>
      </c>
      <c r="E343" s="7" t="s">
        <v>53</v>
      </c>
      <c r="F343" s="7" t="s">
        <v>714</v>
      </c>
      <c r="G343" s="37" t="s">
        <v>193</v>
      </c>
      <c r="H343" s="120">
        <v>0</v>
      </c>
      <c r="I343" s="120">
        <v>0</v>
      </c>
      <c r="J343" s="266">
        <v>2907</v>
      </c>
    </row>
    <row r="344" spans="1:10" ht="75">
      <c r="A344" s="26"/>
      <c r="B344" s="97" t="s">
        <v>715</v>
      </c>
      <c r="C344" s="35" t="s">
        <v>59</v>
      </c>
      <c r="D344" s="35" t="s">
        <v>28</v>
      </c>
      <c r="E344" s="36" t="s">
        <v>53</v>
      </c>
      <c r="F344" s="36" t="s">
        <v>716</v>
      </c>
      <c r="G344" s="19"/>
      <c r="H344" s="190">
        <f>H345</f>
        <v>0</v>
      </c>
      <c r="I344" s="190">
        <f>I345</f>
        <v>2610</v>
      </c>
      <c r="J344" s="248">
        <f>J345</f>
        <v>0</v>
      </c>
    </row>
    <row r="345" spans="1:10" ht="18">
      <c r="A345" s="26"/>
      <c r="B345" s="191" t="s">
        <v>205</v>
      </c>
      <c r="C345" s="7" t="s">
        <v>59</v>
      </c>
      <c r="D345" s="7" t="s">
        <v>28</v>
      </c>
      <c r="E345" s="7" t="s">
        <v>53</v>
      </c>
      <c r="F345" s="7" t="s">
        <v>716</v>
      </c>
      <c r="G345" s="37" t="s">
        <v>193</v>
      </c>
      <c r="H345" s="120">
        <v>0</v>
      </c>
      <c r="I345" s="120">
        <v>2610</v>
      </c>
      <c r="J345" s="266">
        <v>0</v>
      </c>
    </row>
    <row r="346" spans="1:10" ht="37.5">
      <c r="A346" s="26"/>
      <c r="B346" s="117" t="s">
        <v>115</v>
      </c>
      <c r="C346" s="16" t="s">
        <v>59</v>
      </c>
      <c r="D346" s="16" t="s">
        <v>28</v>
      </c>
      <c r="E346" s="17" t="s">
        <v>53</v>
      </c>
      <c r="F346" s="17" t="s">
        <v>114</v>
      </c>
      <c r="G346" s="18"/>
      <c r="H346" s="61">
        <f>H347</f>
        <v>437</v>
      </c>
      <c r="I346" s="61">
        <f>I347</f>
        <v>781</v>
      </c>
      <c r="J346" s="251">
        <f>J347</f>
        <v>344</v>
      </c>
    </row>
    <row r="347" spans="1:10" ht="18">
      <c r="A347" s="26"/>
      <c r="B347" s="103" t="s">
        <v>205</v>
      </c>
      <c r="C347" s="8" t="s">
        <v>59</v>
      </c>
      <c r="D347" s="8" t="s">
        <v>28</v>
      </c>
      <c r="E347" s="8" t="s">
        <v>53</v>
      </c>
      <c r="F347" s="8" t="s">
        <v>114</v>
      </c>
      <c r="G347" s="8" t="s">
        <v>193</v>
      </c>
      <c r="H347" s="64">
        <v>437</v>
      </c>
      <c r="I347" s="64">
        <v>781</v>
      </c>
      <c r="J347" s="253">
        <v>344</v>
      </c>
    </row>
    <row r="348" spans="1:10" ht="18.75">
      <c r="A348" s="26"/>
      <c r="B348" s="116" t="s">
        <v>77</v>
      </c>
      <c r="C348" s="3" t="s">
        <v>59</v>
      </c>
      <c r="D348" s="3" t="s">
        <v>28</v>
      </c>
      <c r="E348" s="4" t="s">
        <v>55</v>
      </c>
      <c r="F348" s="15"/>
      <c r="G348" s="15"/>
      <c r="H348" s="63">
        <f>H349</f>
        <v>68181.9</v>
      </c>
      <c r="I348" s="63">
        <f>I349</f>
        <v>140701.6</v>
      </c>
      <c r="J348" s="246">
        <f>J349</f>
        <v>68863.8</v>
      </c>
    </row>
    <row r="349" spans="1:10" ht="37.5">
      <c r="A349" s="26"/>
      <c r="B349" s="116" t="s">
        <v>209</v>
      </c>
      <c r="C349" s="3" t="s">
        <v>59</v>
      </c>
      <c r="D349" s="3" t="s">
        <v>28</v>
      </c>
      <c r="E349" s="4" t="s">
        <v>55</v>
      </c>
      <c r="F349" s="4" t="s">
        <v>338</v>
      </c>
      <c r="G349" s="15"/>
      <c r="H349" s="63">
        <f>H350+H358</f>
        <v>68181.9</v>
      </c>
      <c r="I349" s="63">
        <f>I350+I358</f>
        <v>140701.6</v>
      </c>
      <c r="J349" s="246">
        <f>J350+J358</f>
        <v>68863.8</v>
      </c>
    </row>
    <row r="350" spans="1:10" ht="18.75">
      <c r="A350" s="26"/>
      <c r="B350" s="116" t="s">
        <v>294</v>
      </c>
      <c r="C350" s="3" t="s">
        <v>59</v>
      </c>
      <c r="D350" s="3" t="s">
        <v>28</v>
      </c>
      <c r="E350" s="4" t="s">
        <v>55</v>
      </c>
      <c r="F350" s="4" t="s">
        <v>359</v>
      </c>
      <c r="G350" s="15"/>
      <c r="H350" s="63">
        <f>H351</f>
        <v>45762.799999999996</v>
      </c>
      <c r="I350" s="63">
        <f>I351</f>
        <v>42794.2</v>
      </c>
      <c r="J350" s="246">
        <f>J351</f>
        <v>42794.2</v>
      </c>
    </row>
    <row r="351" spans="1:10" ht="75">
      <c r="A351" s="26"/>
      <c r="B351" s="115" t="s">
        <v>362</v>
      </c>
      <c r="C351" s="16" t="s">
        <v>59</v>
      </c>
      <c r="D351" s="16" t="s">
        <v>28</v>
      </c>
      <c r="E351" s="17" t="s">
        <v>55</v>
      </c>
      <c r="F351" s="17" t="s">
        <v>360</v>
      </c>
      <c r="G351" s="18"/>
      <c r="H351" s="61">
        <f>H352+H356+H354</f>
        <v>45762.799999999996</v>
      </c>
      <c r="I351" s="61">
        <f>I352+I356+I354</f>
        <v>42794.2</v>
      </c>
      <c r="J351" s="251">
        <f>J352+J356+J354</f>
        <v>42794.2</v>
      </c>
    </row>
    <row r="352" spans="1:10" ht="37.5">
      <c r="A352" s="26"/>
      <c r="B352" s="117" t="s">
        <v>116</v>
      </c>
      <c r="C352" s="16" t="s">
        <v>59</v>
      </c>
      <c r="D352" s="16" t="s">
        <v>28</v>
      </c>
      <c r="E352" s="17" t="s">
        <v>55</v>
      </c>
      <c r="F352" s="17" t="s">
        <v>368</v>
      </c>
      <c r="G352" s="18"/>
      <c r="H352" s="61">
        <f>H353</f>
        <v>8661.5</v>
      </c>
      <c r="I352" s="61">
        <f>I353</f>
        <v>7348.3</v>
      </c>
      <c r="J352" s="251">
        <f>J353</f>
        <v>7348.3</v>
      </c>
    </row>
    <row r="353" spans="1:10" ht="18">
      <c r="A353" s="26"/>
      <c r="B353" s="103" t="s">
        <v>205</v>
      </c>
      <c r="C353" s="8" t="s">
        <v>59</v>
      </c>
      <c r="D353" s="8" t="s">
        <v>28</v>
      </c>
      <c r="E353" s="8" t="s">
        <v>55</v>
      </c>
      <c r="F353" s="8" t="s">
        <v>368</v>
      </c>
      <c r="G353" s="8" t="s">
        <v>193</v>
      </c>
      <c r="H353" s="64">
        <f>7348.3+1313.2</f>
        <v>8661.5</v>
      </c>
      <c r="I353" s="64">
        <v>7348.3</v>
      </c>
      <c r="J353" s="253">
        <v>7348.3</v>
      </c>
    </row>
    <row r="354" spans="1:10" ht="37.5">
      <c r="A354" s="26"/>
      <c r="B354" s="192" t="s">
        <v>121</v>
      </c>
      <c r="C354" s="29" t="s">
        <v>59</v>
      </c>
      <c r="D354" s="29" t="s">
        <v>28</v>
      </c>
      <c r="E354" s="30" t="s">
        <v>55</v>
      </c>
      <c r="F354" s="30" t="s">
        <v>361</v>
      </c>
      <c r="G354" s="21"/>
      <c r="H354" s="65">
        <f>H355</f>
        <v>1405.2</v>
      </c>
      <c r="I354" s="65">
        <f>I355</f>
        <v>1405.2</v>
      </c>
      <c r="J354" s="100">
        <f>J355</f>
        <v>1405.2</v>
      </c>
    </row>
    <row r="355" spans="1:10" ht="36">
      <c r="A355" s="26"/>
      <c r="B355" s="93" t="s">
        <v>199</v>
      </c>
      <c r="C355" s="9" t="s">
        <v>59</v>
      </c>
      <c r="D355" s="9" t="s">
        <v>28</v>
      </c>
      <c r="E355" s="9" t="s">
        <v>55</v>
      </c>
      <c r="F355" s="9" t="s">
        <v>361</v>
      </c>
      <c r="G355" s="9" t="s">
        <v>192</v>
      </c>
      <c r="H355" s="70">
        <v>1405.2</v>
      </c>
      <c r="I355" s="70">
        <v>1405.2</v>
      </c>
      <c r="J355" s="13">
        <v>1405.2</v>
      </c>
    </row>
    <row r="356" spans="1:10" ht="131.25">
      <c r="A356" s="26"/>
      <c r="B356" s="117" t="s">
        <v>262</v>
      </c>
      <c r="C356" s="16" t="s">
        <v>59</v>
      </c>
      <c r="D356" s="16" t="s">
        <v>28</v>
      </c>
      <c r="E356" s="17" t="s">
        <v>55</v>
      </c>
      <c r="F356" s="17" t="s">
        <v>369</v>
      </c>
      <c r="G356" s="18"/>
      <c r="H356" s="61">
        <f>H357</f>
        <v>35696.1</v>
      </c>
      <c r="I356" s="61">
        <f>I357</f>
        <v>34040.7</v>
      </c>
      <c r="J356" s="251">
        <f>J357</f>
        <v>34040.7</v>
      </c>
    </row>
    <row r="357" spans="1:10" ht="18">
      <c r="A357" s="26"/>
      <c r="B357" s="103" t="s">
        <v>205</v>
      </c>
      <c r="C357" s="8" t="s">
        <v>59</v>
      </c>
      <c r="D357" s="8" t="s">
        <v>28</v>
      </c>
      <c r="E357" s="8" t="s">
        <v>55</v>
      </c>
      <c r="F357" s="8" t="s">
        <v>369</v>
      </c>
      <c r="G357" s="8" t="s">
        <v>193</v>
      </c>
      <c r="H357" s="64">
        <f>34040.7+1655.4</f>
        <v>35696.1</v>
      </c>
      <c r="I357" s="64">
        <v>34040.7</v>
      </c>
      <c r="J357" s="253">
        <v>34040.7</v>
      </c>
    </row>
    <row r="358" spans="1:10" ht="18.75">
      <c r="A358" s="26"/>
      <c r="B358" s="195" t="s">
        <v>618</v>
      </c>
      <c r="C358" s="22" t="s">
        <v>59</v>
      </c>
      <c r="D358" s="22" t="s">
        <v>28</v>
      </c>
      <c r="E358" s="23" t="s">
        <v>55</v>
      </c>
      <c r="F358" s="23" t="s">
        <v>617</v>
      </c>
      <c r="G358" s="28"/>
      <c r="H358" s="66">
        <f aca="true" t="shared" si="40" ref="H358:J360">H359</f>
        <v>22419.100000000002</v>
      </c>
      <c r="I358" s="66">
        <f t="shared" si="40"/>
        <v>97907.40000000001</v>
      </c>
      <c r="J358" s="186">
        <f t="shared" si="40"/>
        <v>26069.600000000002</v>
      </c>
    </row>
    <row r="359" spans="1:10" ht="37.5">
      <c r="A359" s="26"/>
      <c r="B359" s="134" t="s">
        <v>647</v>
      </c>
      <c r="C359" s="22" t="s">
        <v>59</v>
      </c>
      <c r="D359" s="22" t="s">
        <v>28</v>
      </c>
      <c r="E359" s="23" t="s">
        <v>55</v>
      </c>
      <c r="F359" s="23" t="s">
        <v>646</v>
      </c>
      <c r="G359" s="10"/>
      <c r="H359" s="78">
        <f>H360+H362</f>
        <v>22419.100000000002</v>
      </c>
      <c r="I359" s="78">
        <f>I360+I362</f>
        <v>97907.40000000001</v>
      </c>
      <c r="J359" s="221">
        <f>J360+J362</f>
        <v>26069.600000000002</v>
      </c>
    </row>
    <row r="360" spans="1:10" ht="56.25">
      <c r="A360" s="26"/>
      <c r="B360" s="196" t="s">
        <v>166</v>
      </c>
      <c r="C360" s="11" t="s">
        <v>59</v>
      </c>
      <c r="D360" s="11" t="s">
        <v>28</v>
      </c>
      <c r="E360" s="1" t="s">
        <v>55</v>
      </c>
      <c r="F360" s="1" t="s">
        <v>648</v>
      </c>
      <c r="G360" s="7"/>
      <c r="H360" s="77">
        <f t="shared" si="40"/>
        <v>21934.7</v>
      </c>
      <c r="I360" s="77">
        <f t="shared" si="40"/>
        <v>93682.1</v>
      </c>
      <c r="J360" s="223">
        <f t="shared" si="40"/>
        <v>24680.800000000003</v>
      </c>
    </row>
    <row r="361" spans="1:10" ht="36">
      <c r="A361" s="26"/>
      <c r="B361" s="107" t="s">
        <v>206</v>
      </c>
      <c r="C361" s="9" t="s">
        <v>59</v>
      </c>
      <c r="D361" s="9" t="s">
        <v>28</v>
      </c>
      <c r="E361" s="9" t="s">
        <v>55</v>
      </c>
      <c r="F361" s="9" t="s">
        <v>648</v>
      </c>
      <c r="G361" s="9" t="s">
        <v>203</v>
      </c>
      <c r="H361" s="70">
        <f>10278.6+1475.4+10180.7</f>
        <v>21934.7</v>
      </c>
      <c r="I361" s="70">
        <f>95942.8-2260.7</f>
        <v>93682.1</v>
      </c>
      <c r="J361" s="13">
        <f>26069.7-0.1-1388.8</f>
        <v>24680.800000000003</v>
      </c>
    </row>
    <row r="362" spans="1:10" ht="56.25">
      <c r="A362" s="26"/>
      <c r="B362" s="117" t="s">
        <v>166</v>
      </c>
      <c r="C362" s="16" t="s">
        <v>59</v>
      </c>
      <c r="D362" s="16" t="s">
        <v>28</v>
      </c>
      <c r="E362" s="17" t="s">
        <v>55</v>
      </c>
      <c r="F362" s="17" t="s">
        <v>649</v>
      </c>
      <c r="G362" s="18"/>
      <c r="H362" s="61">
        <f>H363</f>
        <v>484.39999999999986</v>
      </c>
      <c r="I362" s="61">
        <f>I363</f>
        <v>4225.299999999999</v>
      </c>
      <c r="J362" s="251">
        <f>J363</f>
        <v>1388.8</v>
      </c>
    </row>
    <row r="363" spans="1:10" ht="36">
      <c r="A363" s="26"/>
      <c r="B363" s="103" t="s">
        <v>206</v>
      </c>
      <c r="C363" s="8" t="s">
        <v>59</v>
      </c>
      <c r="D363" s="8" t="s">
        <v>28</v>
      </c>
      <c r="E363" s="8" t="s">
        <v>55</v>
      </c>
      <c r="F363" s="8" t="s">
        <v>649</v>
      </c>
      <c r="G363" s="8" t="s">
        <v>203</v>
      </c>
      <c r="H363" s="64">
        <f>1959.8-1475.4</f>
        <v>484.39999999999986</v>
      </c>
      <c r="I363" s="64">
        <f>1964.6+2260.7</f>
        <v>4225.299999999999</v>
      </c>
      <c r="J363" s="253">
        <v>1388.8</v>
      </c>
    </row>
    <row r="364" spans="1:10" ht="18.75">
      <c r="A364" s="26"/>
      <c r="B364" s="96" t="s">
        <v>4</v>
      </c>
      <c r="C364" s="22" t="s">
        <v>59</v>
      </c>
      <c r="D364" s="22" t="s">
        <v>111</v>
      </c>
      <c r="E364" s="23"/>
      <c r="F364" s="28"/>
      <c r="G364" s="28"/>
      <c r="H364" s="66">
        <f>H365+H418+H412+H395</f>
        <v>187245.5</v>
      </c>
      <c r="I364" s="66">
        <f>I365+I418+I412+I395</f>
        <v>234000.49999999997</v>
      </c>
      <c r="J364" s="66">
        <f>J365+J418+J412+J395</f>
        <v>82324.9</v>
      </c>
    </row>
    <row r="365" spans="1:11" ht="18.75">
      <c r="A365" s="26"/>
      <c r="B365" s="96" t="s">
        <v>72</v>
      </c>
      <c r="C365" s="22" t="s">
        <v>59</v>
      </c>
      <c r="D365" s="22" t="s">
        <v>111</v>
      </c>
      <c r="E365" s="23" t="s">
        <v>54</v>
      </c>
      <c r="F365" s="28"/>
      <c r="G365" s="28"/>
      <c r="H365" s="66">
        <f aca="true" t="shared" si="41" ref="H365:J366">H366</f>
        <v>78590.3</v>
      </c>
      <c r="I365" s="66">
        <f t="shared" si="41"/>
        <v>73370.2</v>
      </c>
      <c r="J365" s="186">
        <f t="shared" si="41"/>
        <v>73085.1</v>
      </c>
      <c r="K365" s="204"/>
    </row>
    <row r="366" spans="1:10" ht="56.25">
      <c r="A366" s="26"/>
      <c r="B366" s="96" t="s">
        <v>222</v>
      </c>
      <c r="C366" s="22" t="s">
        <v>59</v>
      </c>
      <c r="D366" s="22" t="s">
        <v>111</v>
      </c>
      <c r="E366" s="23" t="s">
        <v>54</v>
      </c>
      <c r="F366" s="23" t="s">
        <v>339</v>
      </c>
      <c r="G366" s="28"/>
      <c r="H366" s="66">
        <f>H367+H391</f>
        <v>78590.3</v>
      </c>
      <c r="I366" s="66">
        <f t="shared" si="41"/>
        <v>73370.2</v>
      </c>
      <c r="J366" s="186">
        <f t="shared" si="41"/>
        <v>73085.1</v>
      </c>
    </row>
    <row r="367" spans="1:10" ht="18.75">
      <c r="A367" s="26"/>
      <c r="B367" s="95" t="s">
        <v>294</v>
      </c>
      <c r="C367" s="11" t="s">
        <v>59</v>
      </c>
      <c r="D367" s="11" t="s">
        <v>111</v>
      </c>
      <c r="E367" s="1" t="s">
        <v>54</v>
      </c>
      <c r="F367" s="1" t="s">
        <v>340</v>
      </c>
      <c r="G367" s="12"/>
      <c r="H367" s="62">
        <f>H368+H374+H377+H380+H383+H386</f>
        <v>76890.3</v>
      </c>
      <c r="I367" s="62">
        <f>I368+I374+I377+I380+I383+I386</f>
        <v>73370.2</v>
      </c>
      <c r="J367" s="188">
        <f>J368+J374+J377+J380+J383+J386</f>
        <v>73085.1</v>
      </c>
    </row>
    <row r="368" spans="1:10" ht="37.5">
      <c r="A368" s="26"/>
      <c r="B368" s="95" t="s">
        <v>373</v>
      </c>
      <c r="C368" s="11" t="s">
        <v>59</v>
      </c>
      <c r="D368" s="11" t="s">
        <v>111</v>
      </c>
      <c r="E368" s="1" t="s">
        <v>54</v>
      </c>
      <c r="F368" s="1" t="s">
        <v>371</v>
      </c>
      <c r="G368" s="12"/>
      <c r="H368" s="62">
        <f>H369+H371</f>
        <v>4337.900000000001</v>
      </c>
      <c r="I368" s="62">
        <f>I369+I371</f>
        <v>2083.9</v>
      </c>
      <c r="J368" s="188">
        <f>J369+J371</f>
        <v>1798.8000000000002</v>
      </c>
    </row>
    <row r="369" spans="1:10" ht="56.25">
      <c r="A369" s="26"/>
      <c r="B369" s="138" t="s">
        <v>167</v>
      </c>
      <c r="C369" s="29" t="s">
        <v>59</v>
      </c>
      <c r="D369" s="29" t="s">
        <v>111</v>
      </c>
      <c r="E369" s="30" t="s">
        <v>54</v>
      </c>
      <c r="F369" s="30" t="s">
        <v>374</v>
      </c>
      <c r="G369" s="21"/>
      <c r="H369" s="65">
        <f>H370</f>
        <v>403.7</v>
      </c>
      <c r="I369" s="65">
        <f>I370</f>
        <v>272.5</v>
      </c>
      <c r="J369" s="100">
        <f>J370</f>
        <v>272.5</v>
      </c>
    </row>
    <row r="370" spans="1:10" ht="36">
      <c r="A370" s="26"/>
      <c r="B370" s="107" t="s">
        <v>204</v>
      </c>
      <c r="C370" s="8" t="s">
        <v>59</v>
      </c>
      <c r="D370" s="8" t="s">
        <v>111</v>
      </c>
      <c r="E370" s="8" t="s">
        <v>54</v>
      </c>
      <c r="F370" s="9" t="s">
        <v>374</v>
      </c>
      <c r="G370" s="8" t="s">
        <v>196</v>
      </c>
      <c r="H370" s="70">
        <f>100+172.5+105.2+26</f>
        <v>403.7</v>
      </c>
      <c r="I370" s="70">
        <f>100+172.5</f>
        <v>272.5</v>
      </c>
      <c r="J370" s="13">
        <f>100+172.5</f>
        <v>272.5</v>
      </c>
    </row>
    <row r="371" spans="1:10" ht="56.25">
      <c r="A371" s="26"/>
      <c r="B371" s="172" t="s">
        <v>376</v>
      </c>
      <c r="C371" s="11" t="s">
        <v>59</v>
      </c>
      <c r="D371" s="11" t="s">
        <v>111</v>
      </c>
      <c r="E371" s="1" t="s">
        <v>54</v>
      </c>
      <c r="F371" s="1" t="s">
        <v>375</v>
      </c>
      <c r="G371" s="12"/>
      <c r="H371" s="62">
        <f>SUM(H372:H373)</f>
        <v>3934.2000000000003</v>
      </c>
      <c r="I371" s="62">
        <f>SUM(I372:I373)</f>
        <v>1811.4</v>
      </c>
      <c r="J371" s="188">
        <f>SUM(J372:J373)</f>
        <v>1526.3000000000002</v>
      </c>
    </row>
    <row r="372" spans="1:10" ht="36">
      <c r="A372" s="26"/>
      <c r="B372" s="139" t="s">
        <v>199</v>
      </c>
      <c r="C372" s="19" t="s">
        <v>59</v>
      </c>
      <c r="D372" s="19" t="s">
        <v>111</v>
      </c>
      <c r="E372" s="19" t="s">
        <v>54</v>
      </c>
      <c r="F372" s="21" t="s">
        <v>375</v>
      </c>
      <c r="G372" s="19" t="s">
        <v>192</v>
      </c>
      <c r="H372" s="68">
        <f>1117.7+283.1-156.6-0.1+748.6</f>
        <v>1992.7000000000003</v>
      </c>
      <c r="I372" s="68">
        <f>1167.7+358.6+285.1</f>
        <v>1811.4</v>
      </c>
      <c r="J372" s="99">
        <f>1167.7+358.6</f>
        <v>1526.3000000000002</v>
      </c>
    </row>
    <row r="373" spans="1:10" ht="36">
      <c r="A373" s="26"/>
      <c r="B373" s="103" t="s">
        <v>204</v>
      </c>
      <c r="C373" s="8" t="s">
        <v>59</v>
      </c>
      <c r="D373" s="8" t="s">
        <v>111</v>
      </c>
      <c r="E373" s="8" t="s">
        <v>54</v>
      </c>
      <c r="F373" s="9" t="s">
        <v>375</v>
      </c>
      <c r="G373" s="8" t="s">
        <v>196</v>
      </c>
      <c r="H373" s="70">
        <f>50+156.6+1734.9</f>
        <v>1941.5</v>
      </c>
      <c r="I373" s="70">
        <v>0</v>
      </c>
      <c r="J373" s="13">
        <v>0</v>
      </c>
    </row>
    <row r="374" spans="1:10" ht="37.5">
      <c r="A374" s="26"/>
      <c r="B374" s="95" t="s">
        <v>380</v>
      </c>
      <c r="C374" s="16" t="s">
        <v>59</v>
      </c>
      <c r="D374" s="16" t="s">
        <v>111</v>
      </c>
      <c r="E374" s="17" t="s">
        <v>54</v>
      </c>
      <c r="F374" s="17" t="s">
        <v>377</v>
      </c>
      <c r="G374" s="18"/>
      <c r="H374" s="62">
        <f aca="true" t="shared" si="42" ref="H374:J375">H375</f>
        <v>224.89999999999998</v>
      </c>
      <c r="I374" s="62">
        <f t="shared" si="42"/>
        <v>149.39999999999998</v>
      </c>
      <c r="J374" s="188">
        <f t="shared" si="42"/>
        <v>149.39999999999998</v>
      </c>
    </row>
    <row r="375" spans="1:10" ht="56.25">
      <c r="A375" s="26"/>
      <c r="B375" s="108" t="s">
        <v>379</v>
      </c>
      <c r="C375" s="16" t="s">
        <v>59</v>
      </c>
      <c r="D375" s="16" t="s">
        <v>111</v>
      </c>
      <c r="E375" s="17" t="s">
        <v>54</v>
      </c>
      <c r="F375" s="17" t="s">
        <v>378</v>
      </c>
      <c r="G375" s="18" t="s">
        <v>71</v>
      </c>
      <c r="H375" s="62">
        <f t="shared" si="42"/>
        <v>224.89999999999998</v>
      </c>
      <c r="I375" s="62">
        <f t="shared" si="42"/>
        <v>149.39999999999998</v>
      </c>
      <c r="J375" s="188">
        <f t="shared" si="42"/>
        <v>149.39999999999998</v>
      </c>
    </row>
    <row r="376" spans="1:10" ht="36">
      <c r="A376" s="26"/>
      <c r="B376" s="103" t="s">
        <v>199</v>
      </c>
      <c r="C376" s="8" t="s">
        <v>59</v>
      </c>
      <c r="D376" s="8" t="s">
        <v>111</v>
      </c>
      <c r="E376" s="8" t="s">
        <v>54</v>
      </c>
      <c r="F376" s="9" t="s">
        <v>378</v>
      </c>
      <c r="G376" s="8" t="s">
        <v>192</v>
      </c>
      <c r="H376" s="70">
        <f>508-283.1</f>
        <v>224.89999999999998</v>
      </c>
      <c r="I376" s="70">
        <f>508-358.6</f>
        <v>149.39999999999998</v>
      </c>
      <c r="J376" s="13">
        <f>508-358.6</f>
        <v>149.39999999999998</v>
      </c>
    </row>
    <row r="377" spans="1:10" ht="37.5">
      <c r="A377" s="26"/>
      <c r="B377" s="116" t="s">
        <v>383</v>
      </c>
      <c r="C377" s="3" t="s">
        <v>59</v>
      </c>
      <c r="D377" s="3" t="s">
        <v>111</v>
      </c>
      <c r="E377" s="4" t="s">
        <v>54</v>
      </c>
      <c r="F377" s="4" t="s">
        <v>381</v>
      </c>
      <c r="G377" s="24"/>
      <c r="H377" s="78">
        <f aca="true" t="shared" si="43" ref="H377:J378">H378</f>
        <v>58.8</v>
      </c>
      <c r="I377" s="78">
        <f t="shared" si="43"/>
        <v>176.4</v>
      </c>
      <c r="J377" s="221">
        <f t="shared" si="43"/>
        <v>176.4</v>
      </c>
    </row>
    <row r="378" spans="1:10" ht="37.5">
      <c r="A378" s="26"/>
      <c r="B378" s="140" t="s">
        <v>175</v>
      </c>
      <c r="C378" s="16" t="s">
        <v>59</v>
      </c>
      <c r="D378" s="16" t="s">
        <v>111</v>
      </c>
      <c r="E378" s="17" t="s">
        <v>54</v>
      </c>
      <c r="F378" s="17" t="s">
        <v>382</v>
      </c>
      <c r="G378" s="37"/>
      <c r="H378" s="77">
        <f t="shared" si="43"/>
        <v>58.8</v>
      </c>
      <c r="I378" s="77">
        <f t="shared" si="43"/>
        <v>176.4</v>
      </c>
      <c r="J378" s="223">
        <f t="shared" si="43"/>
        <v>176.4</v>
      </c>
    </row>
    <row r="379" spans="1:10" ht="36">
      <c r="A379" s="26"/>
      <c r="B379" s="103" t="s">
        <v>199</v>
      </c>
      <c r="C379" s="8" t="s">
        <v>59</v>
      </c>
      <c r="D379" s="8" t="s">
        <v>111</v>
      </c>
      <c r="E379" s="8" t="s">
        <v>54</v>
      </c>
      <c r="F379" s="9" t="s">
        <v>382</v>
      </c>
      <c r="G379" s="8" t="s">
        <v>192</v>
      </c>
      <c r="H379" s="70">
        <f>33.9+24.9</f>
        <v>58.8</v>
      </c>
      <c r="I379" s="70">
        <f>33.9+142.5</f>
        <v>176.4</v>
      </c>
      <c r="J379" s="13">
        <f>33.9+142.5</f>
        <v>176.4</v>
      </c>
    </row>
    <row r="380" spans="1:10" ht="37.5">
      <c r="A380" s="26"/>
      <c r="B380" s="141" t="s">
        <v>386</v>
      </c>
      <c r="C380" s="3" t="s">
        <v>59</v>
      </c>
      <c r="D380" s="3" t="s">
        <v>111</v>
      </c>
      <c r="E380" s="4" t="s">
        <v>54</v>
      </c>
      <c r="F380" s="4" t="s">
        <v>384</v>
      </c>
      <c r="G380" s="24"/>
      <c r="H380" s="78">
        <f aca="true" t="shared" si="44" ref="H380:J381">H381</f>
        <v>105.4</v>
      </c>
      <c r="I380" s="78">
        <f t="shared" si="44"/>
        <v>105.4</v>
      </c>
      <c r="J380" s="221">
        <f t="shared" si="44"/>
        <v>105.4</v>
      </c>
    </row>
    <row r="381" spans="1:10" ht="37.5">
      <c r="A381" s="26"/>
      <c r="B381" s="142" t="s">
        <v>226</v>
      </c>
      <c r="C381" s="35" t="s">
        <v>59</v>
      </c>
      <c r="D381" s="35" t="s">
        <v>111</v>
      </c>
      <c r="E381" s="36" t="s">
        <v>54</v>
      </c>
      <c r="F381" s="17" t="s">
        <v>385</v>
      </c>
      <c r="G381" s="19"/>
      <c r="H381" s="65">
        <f t="shared" si="44"/>
        <v>105.4</v>
      </c>
      <c r="I381" s="65">
        <f t="shared" si="44"/>
        <v>105.4</v>
      </c>
      <c r="J381" s="100">
        <f t="shared" si="44"/>
        <v>105.4</v>
      </c>
    </row>
    <row r="382" spans="1:10" ht="36">
      <c r="A382" s="26"/>
      <c r="B382" s="103" t="s">
        <v>199</v>
      </c>
      <c r="C382" s="8" t="s">
        <v>59</v>
      </c>
      <c r="D382" s="8" t="s">
        <v>111</v>
      </c>
      <c r="E382" s="8" t="s">
        <v>54</v>
      </c>
      <c r="F382" s="9" t="s">
        <v>385</v>
      </c>
      <c r="G382" s="8" t="s">
        <v>192</v>
      </c>
      <c r="H382" s="70">
        <f>50.9+54.5</f>
        <v>105.4</v>
      </c>
      <c r="I382" s="70">
        <f>50.9+54.5</f>
        <v>105.4</v>
      </c>
      <c r="J382" s="13">
        <f>50.9+54.5</f>
        <v>105.4</v>
      </c>
    </row>
    <row r="383" spans="1:10" ht="37.5">
      <c r="A383" s="26"/>
      <c r="B383" s="141" t="s">
        <v>389</v>
      </c>
      <c r="C383" s="3" t="s">
        <v>59</v>
      </c>
      <c r="D383" s="3" t="s">
        <v>111</v>
      </c>
      <c r="E383" s="4" t="s">
        <v>54</v>
      </c>
      <c r="F383" s="4" t="s">
        <v>387</v>
      </c>
      <c r="G383" s="24"/>
      <c r="H383" s="78">
        <f>H384</f>
        <v>154.8</v>
      </c>
      <c r="I383" s="78">
        <f>I384</f>
        <v>154.8</v>
      </c>
      <c r="J383" s="221">
        <f>J384</f>
        <v>154.8</v>
      </c>
    </row>
    <row r="384" spans="1:10" ht="56.25">
      <c r="A384" s="26"/>
      <c r="B384" s="173" t="s">
        <v>176</v>
      </c>
      <c r="C384" s="16" t="s">
        <v>59</v>
      </c>
      <c r="D384" s="16" t="s">
        <v>111</v>
      </c>
      <c r="E384" s="17" t="s">
        <v>54</v>
      </c>
      <c r="F384" s="17" t="s">
        <v>388</v>
      </c>
      <c r="G384" s="18"/>
      <c r="H384" s="62">
        <f>SUM(H385:H385)</f>
        <v>154.8</v>
      </c>
      <c r="I384" s="62">
        <f>SUM(I385:I385)</f>
        <v>154.8</v>
      </c>
      <c r="J384" s="188">
        <f>SUM(J385:J385)</f>
        <v>154.8</v>
      </c>
    </row>
    <row r="385" spans="1:10" ht="36">
      <c r="A385" s="26"/>
      <c r="B385" s="143" t="s">
        <v>199</v>
      </c>
      <c r="C385" s="8" t="s">
        <v>59</v>
      </c>
      <c r="D385" s="8" t="s">
        <v>111</v>
      </c>
      <c r="E385" s="8" t="s">
        <v>54</v>
      </c>
      <c r="F385" s="9" t="s">
        <v>388</v>
      </c>
      <c r="G385" s="8" t="s">
        <v>192</v>
      </c>
      <c r="H385" s="70">
        <v>154.8</v>
      </c>
      <c r="I385" s="70">
        <v>154.8</v>
      </c>
      <c r="J385" s="13">
        <v>154.8</v>
      </c>
    </row>
    <row r="386" spans="1:10" ht="56.25">
      <c r="A386" s="26"/>
      <c r="B386" s="184" t="s">
        <v>392</v>
      </c>
      <c r="C386" s="40" t="s">
        <v>59</v>
      </c>
      <c r="D386" s="40" t="s">
        <v>111</v>
      </c>
      <c r="E386" s="185" t="s">
        <v>54</v>
      </c>
      <c r="F386" s="185" t="s">
        <v>390</v>
      </c>
      <c r="G386" s="24"/>
      <c r="H386" s="78">
        <f>H387+H389</f>
        <v>72008.5</v>
      </c>
      <c r="I386" s="78">
        <f>I387+I389</f>
        <v>70700.3</v>
      </c>
      <c r="J386" s="221">
        <f>J387+J389</f>
        <v>70700.3</v>
      </c>
    </row>
    <row r="387" spans="1:10" ht="37.5">
      <c r="A387" s="26"/>
      <c r="B387" s="127" t="s">
        <v>297</v>
      </c>
      <c r="C387" s="16" t="s">
        <v>59</v>
      </c>
      <c r="D387" s="16" t="s">
        <v>111</v>
      </c>
      <c r="E387" s="17" t="s">
        <v>54</v>
      </c>
      <c r="F387" s="17" t="s">
        <v>391</v>
      </c>
      <c r="G387" s="37"/>
      <c r="H387" s="77">
        <f>H388</f>
        <v>71482.2</v>
      </c>
      <c r="I387" s="77">
        <f>I388</f>
        <v>70700.3</v>
      </c>
      <c r="J387" s="223">
        <f>J388</f>
        <v>70700.3</v>
      </c>
    </row>
    <row r="388" spans="1:10" ht="36">
      <c r="A388" s="26"/>
      <c r="B388" s="143" t="s">
        <v>204</v>
      </c>
      <c r="C388" s="9" t="s">
        <v>59</v>
      </c>
      <c r="D388" s="9" t="s">
        <v>111</v>
      </c>
      <c r="E388" s="9" t="s">
        <v>54</v>
      </c>
      <c r="F388" s="9" t="s">
        <v>391</v>
      </c>
      <c r="G388" s="8" t="s">
        <v>196</v>
      </c>
      <c r="H388" s="70">
        <f>70700.3+781.7+0.2</f>
        <v>71482.2</v>
      </c>
      <c r="I388" s="70">
        <v>70700.3</v>
      </c>
      <c r="J388" s="13">
        <v>70700.3</v>
      </c>
    </row>
    <row r="389" spans="1:10" ht="37.5">
      <c r="A389" s="26"/>
      <c r="B389" s="142" t="s">
        <v>229</v>
      </c>
      <c r="C389" s="35" t="s">
        <v>59</v>
      </c>
      <c r="D389" s="35" t="s">
        <v>111</v>
      </c>
      <c r="E389" s="36" t="s">
        <v>54</v>
      </c>
      <c r="F389" s="36" t="s">
        <v>603</v>
      </c>
      <c r="G389" s="19"/>
      <c r="H389" s="65">
        <f>SUM(H390:H390)</f>
        <v>526.3</v>
      </c>
      <c r="I389" s="65">
        <f>SUM(I390:I390)</f>
        <v>0</v>
      </c>
      <c r="J389" s="100">
        <f>SUM(J390:J390)</f>
        <v>0</v>
      </c>
    </row>
    <row r="390" spans="1:10" ht="36">
      <c r="A390" s="26"/>
      <c r="B390" s="182" t="s">
        <v>204</v>
      </c>
      <c r="C390" s="9" t="s">
        <v>59</v>
      </c>
      <c r="D390" s="9" t="s">
        <v>111</v>
      </c>
      <c r="E390" s="9" t="s">
        <v>54</v>
      </c>
      <c r="F390" s="9" t="s">
        <v>603</v>
      </c>
      <c r="G390" s="9" t="s">
        <v>196</v>
      </c>
      <c r="H390" s="70">
        <f>26.3+500</f>
        <v>526.3</v>
      </c>
      <c r="I390" s="70">
        <v>0</v>
      </c>
      <c r="J390" s="13"/>
    </row>
    <row r="391" spans="1:10" ht="18.75">
      <c r="A391" s="26"/>
      <c r="B391" s="141" t="s">
        <v>618</v>
      </c>
      <c r="C391" s="22" t="s">
        <v>59</v>
      </c>
      <c r="D391" s="22" t="s">
        <v>111</v>
      </c>
      <c r="E391" s="23" t="s">
        <v>54</v>
      </c>
      <c r="F391" s="23" t="s">
        <v>717</v>
      </c>
      <c r="G391" s="10"/>
      <c r="H391" s="78">
        <f aca="true" t="shared" si="45" ref="H391:J393">H392</f>
        <v>1700</v>
      </c>
      <c r="I391" s="78">
        <f t="shared" si="45"/>
        <v>0</v>
      </c>
      <c r="J391" s="78">
        <f t="shared" si="45"/>
        <v>0</v>
      </c>
    </row>
    <row r="392" spans="1:10" ht="37.5">
      <c r="A392" s="26"/>
      <c r="B392" s="141" t="s">
        <v>665</v>
      </c>
      <c r="C392" s="22" t="s">
        <v>59</v>
      </c>
      <c r="D392" s="22" t="s">
        <v>111</v>
      </c>
      <c r="E392" s="23" t="s">
        <v>54</v>
      </c>
      <c r="F392" s="23" t="s">
        <v>718</v>
      </c>
      <c r="G392" s="10"/>
      <c r="H392" s="78">
        <f t="shared" si="45"/>
        <v>1700</v>
      </c>
      <c r="I392" s="78">
        <f t="shared" si="45"/>
        <v>0</v>
      </c>
      <c r="J392" s="78">
        <f t="shared" si="45"/>
        <v>0</v>
      </c>
    </row>
    <row r="393" spans="1:10" ht="18.75">
      <c r="A393" s="26"/>
      <c r="B393" s="140" t="s">
        <v>733</v>
      </c>
      <c r="C393" s="11" t="s">
        <v>59</v>
      </c>
      <c r="D393" s="11" t="s">
        <v>111</v>
      </c>
      <c r="E393" s="1" t="s">
        <v>54</v>
      </c>
      <c r="F393" s="1" t="s">
        <v>732</v>
      </c>
      <c r="G393" s="7"/>
      <c r="H393" s="77">
        <f t="shared" si="45"/>
        <v>1700</v>
      </c>
      <c r="I393" s="77">
        <f t="shared" si="45"/>
        <v>0</v>
      </c>
      <c r="J393" s="223">
        <f t="shared" si="45"/>
        <v>0</v>
      </c>
    </row>
    <row r="394" spans="1:10" ht="36">
      <c r="A394" s="26"/>
      <c r="B394" s="182" t="s">
        <v>204</v>
      </c>
      <c r="C394" s="212" t="s">
        <v>59</v>
      </c>
      <c r="D394" s="212" t="s">
        <v>111</v>
      </c>
      <c r="E394" s="9" t="s">
        <v>54</v>
      </c>
      <c r="F394" s="9" t="s">
        <v>732</v>
      </c>
      <c r="G394" s="9" t="s">
        <v>196</v>
      </c>
      <c r="H394" s="70">
        <v>1700</v>
      </c>
      <c r="I394" s="70">
        <v>0</v>
      </c>
      <c r="J394" s="13">
        <v>0</v>
      </c>
    </row>
    <row r="395" spans="1:10" ht="18.75">
      <c r="A395" s="26"/>
      <c r="B395" s="96" t="s">
        <v>228</v>
      </c>
      <c r="C395" s="22" t="s">
        <v>59</v>
      </c>
      <c r="D395" s="22" t="s">
        <v>111</v>
      </c>
      <c r="E395" s="23" t="s">
        <v>79</v>
      </c>
      <c r="F395" s="28"/>
      <c r="G395" s="28"/>
      <c r="H395" s="66">
        <f>H396+H401</f>
        <v>98315.5</v>
      </c>
      <c r="I395" s="66">
        <f>I396+I401</f>
        <v>151398.09999999998</v>
      </c>
      <c r="J395" s="66">
        <f>J396+J401</f>
        <v>0</v>
      </c>
    </row>
    <row r="396" spans="1:10" ht="56.25">
      <c r="A396" s="26"/>
      <c r="B396" s="96" t="s">
        <v>222</v>
      </c>
      <c r="C396" s="22" t="s">
        <v>59</v>
      </c>
      <c r="D396" s="22" t="s">
        <v>111</v>
      </c>
      <c r="E396" s="23" t="s">
        <v>79</v>
      </c>
      <c r="F396" s="23" t="s">
        <v>339</v>
      </c>
      <c r="G396" s="28"/>
      <c r="H396" s="66">
        <f aca="true" t="shared" si="46" ref="H396:J398">H397</f>
        <v>6643</v>
      </c>
      <c r="I396" s="66">
        <f t="shared" si="46"/>
        <v>0</v>
      </c>
      <c r="J396" s="66">
        <f t="shared" si="46"/>
        <v>0</v>
      </c>
    </row>
    <row r="397" spans="1:10" ht="18.75">
      <c r="A397" s="26"/>
      <c r="B397" s="284" t="s">
        <v>618</v>
      </c>
      <c r="C397" s="22" t="s">
        <v>59</v>
      </c>
      <c r="D397" s="22" t="s">
        <v>111</v>
      </c>
      <c r="E397" s="23" t="s">
        <v>79</v>
      </c>
      <c r="F397" s="23" t="s">
        <v>717</v>
      </c>
      <c r="G397" s="28"/>
      <c r="H397" s="66">
        <f t="shared" si="46"/>
        <v>6643</v>
      </c>
      <c r="I397" s="66">
        <f t="shared" si="46"/>
        <v>0</v>
      </c>
      <c r="J397" s="66">
        <f t="shared" si="46"/>
        <v>0</v>
      </c>
    </row>
    <row r="398" spans="1:10" ht="37.5">
      <c r="A398" s="26"/>
      <c r="B398" s="284" t="s">
        <v>665</v>
      </c>
      <c r="C398" s="22" t="s">
        <v>59</v>
      </c>
      <c r="D398" s="22" t="s">
        <v>111</v>
      </c>
      <c r="E398" s="23" t="s">
        <v>79</v>
      </c>
      <c r="F398" s="23" t="s">
        <v>718</v>
      </c>
      <c r="G398" s="28"/>
      <c r="H398" s="66">
        <f t="shared" si="46"/>
        <v>6643</v>
      </c>
      <c r="I398" s="66">
        <f t="shared" si="46"/>
        <v>0</v>
      </c>
      <c r="J398" s="66">
        <f t="shared" si="46"/>
        <v>0</v>
      </c>
    </row>
    <row r="399" spans="1:10" ht="37.5">
      <c r="A399" s="26"/>
      <c r="B399" s="140" t="s">
        <v>720</v>
      </c>
      <c r="C399" s="5" t="s">
        <v>59</v>
      </c>
      <c r="D399" s="5" t="s">
        <v>111</v>
      </c>
      <c r="E399" s="6" t="s">
        <v>79</v>
      </c>
      <c r="F399" s="6" t="s">
        <v>719</v>
      </c>
      <c r="G399" s="7"/>
      <c r="H399" s="77">
        <f>H400</f>
        <v>6643</v>
      </c>
      <c r="I399" s="77">
        <f>I400</f>
        <v>0</v>
      </c>
      <c r="J399" s="223">
        <f>J400</f>
        <v>0</v>
      </c>
    </row>
    <row r="400" spans="1:10" ht="36">
      <c r="A400" s="26"/>
      <c r="B400" s="182" t="s">
        <v>206</v>
      </c>
      <c r="C400" s="212" t="s">
        <v>59</v>
      </c>
      <c r="D400" s="212" t="s">
        <v>111</v>
      </c>
      <c r="E400" s="9" t="s">
        <v>79</v>
      </c>
      <c r="F400" s="9" t="s">
        <v>719</v>
      </c>
      <c r="G400" s="9" t="s">
        <v>203</v>
      </c>
      <c r="H400" s="70">
        <v>6643</v>
      </c>
      <c r="I400" s="70">
        <v>0</v>
      </c>
      <c r="J400" s="13">
        <v>0</v>
      </c>
    </row>
    <row r="401" spans="1:10" ht="37.5">
      <c r="A401" s="26"/>
      <c r="B401" s="96" t="s">
        <v>32</v>
      </c>
      <c r="C401" s="3" t="s">
        <v>59</v>
      </c>
      <c r="D401" s="3" t="s">
        <v>111</v>
      </c>
      <c r="E401" s="4" t="s">
        <v>79</v>
      </c>
      <c r="F401" s="4" t="s">
        <v>417</v>
      </c>
      <c r="G401" s="28"/>
      <c r="H401" s="66">
        <f>H406+H402</f>
        <v>91672.5</v>
      </c>
      <c r="I401" s="66">
        <f>I406+I402</f>
        <v>151398.09999999998</v>
      </c>
      <c r="J401" s="186">
        <f>J406+J402</f>
        <v>0</v>
      </c>
    </row>
    <row r="402" spans="1:10" ht="18.75">
      <c r="A402" s="26"/>
      <c r="B402" s="96" t="s">
        <v>294</v>
      </c>
      <c r="C402" s="3" t="s">
        <v>59</v>
      </c>
      <c r="D402" s="3" t="s">
        <v>111</v>
      </c>
      <c r="E402" s="4" t="s">
        <v>79</v>
      </c>
      <c r="F402" s="4" t="s">
        <v>418</v>
      </c>
      <c r="G402" s="12"/>
      <c r="H402" s="62">
        <f aca="true" t="shared" si="47" ref="H402:J404">H403</f>
        <v>54</v>
      </c>
      <c r="I402" s="62">
        <f t="shared" si="47"/>
        <v>0</v>
      </c>
      <c r="J402" s="188">
        <f t="shared" si="47"/>
        <v>0</v>
      </c>
    </row>
    <row r="403" spans="1:10" ht="37.5">
      <c r="A403" s="26"/>
      <c r="B403" s="96" t="s">
        <v>755</v>
      </c>
      <c r="C403" s="3" t="s">
        <v>59</v>
      </c>
      <c r="D403" s="3" t="s">
        <v>111</v>
      </c>
      <c r="E403" s="4" t="s">
        <v>79</v>
      </c>
      <c r="F403" s="4" t="s">
        <v>419</v>
      </c>
      <c r="G403" s="12"/>
      <c r="H403" s="62">
        <f t="shared" si="47"/>
        <v>54</v>
      </c>
      <c r="I403" s="62">
        <f t="shared" si="47"/>
        <v>0</v>
      </c>
      <c r="J403" s="188">
        <f t="shared" si="47"/>
        <v>0</v>
      </c>
    </row>
    <row r="404" spans="1:10" ht="37.5">
      <c r="A404" s="26"/>
      <c r="B404" s="95" t="s">
        <v>756</v>
      </c>
      <c r="C404" s="16" t="s">
        <v>59</v>
      </c>
      <c r="D404" s="16" t="s">
        <v>111</v>
      </c>
      <c r="E404" s="17" t="s">
        <v>79</v>
      </c>
      <c r="F404" s="17" t="s">
        <v>757</v>
      </c>
      <c r="G404" s="12"/>
      <c r="H404" s="62">
        <f t="shared" si="47"/>
        <v>54</v>
      </c>
      <c r="I404" s="62">
        <f t="shared" si="47"/>
        <v>0</v>
      </c>
      <c r="J404" s="188">
        <f t="shared" si="47"/>
        <v>0</v>
      </c>
    </row>
    <row r="405" spans="1:10" ht="36">
      <c r="A405" s="26"/>
      <c r="B405" s="93" t="s">
        <v>199</v>
      </c>
      <c r="C405" s="9" t="s">
        <v>59</v>
      </c>
      <c r="D405" s="9" t="s">
        <v>111</v>
      </c>
      <c r="E405" s="9" t="s">
        <v>79</v>
      </c>
      <c r="F405" s="9" t="s">
        <v>757</v>
      </c>
      <c r="G405" s="9" t="s">
        <v>192</v>
      </c>
      <c r="H405" s="70">
        <v>54</v>
      </c>
      <c r="I405" s="70">
        <v>0</v>
      </c>
      <c r="J405" s="13">
        <v>0</v>
      </c>
    </row>
    <row r="406" spans="1:10" ht="18.75">
      <c r="A406" s="26"/>
      <c r="B406" s="96" t="s">
        <v>618</v>
      </c>
      <c r="C406" s="3" t="s">
        <v>59</v>
      </c>
      <c r="D406" s="3" t="s">
        <v>111</v>
      </c>
      <c r="E406" s="4" t="s">
        <v>79</v>
      </c>
      <c r="F406" s="4" t="s">
        <v>644</v>
      </c>
      <c r="G406" s="12"/>
      <c r="H406" s="62">
        <f aca="true" t="shared" si="48" ref="H406:J408">H407</f>
        <v>91618.5</v>
      </c>
      <c r="I406" s="62">
        <f t="shared" si="48"/>
        <v>151398.09999999998</v>
      </c>
      <c r="J406" s="188">
        <f t="shared" si="48"/>
        <v>0</v>
      </c>
    </row>
    <row r="407" spans="1:10" ht="37.5">
      <c r="A407" s="26"/>
      <c r="B407" s="116" t="s">
        <v>665</v>
      </c>
      <c r="C407" s="3" t="s">
        <v>59</v>
      </c>
      <c r="D407" s="3" t="s">
        <v>111</v>
      </c>
      <c r="E407" s="4" t="s">
        <v>79</v>
      </c>
      <c r="F407" s="4" t="s">
        <v>663</v>
      </c>
      <c r="G407" s="18"/>
      <c r="H407" s="62">
        <f>H408+H410</f>
        <v>91618.5</v>
      </c>
      <c r="I407" s="62">
        <f>I408+I410</f>
        <v>151398.09999999998</v>
      </c>
      <c r="J407" s="62">
        <f>J408+J410</f>
        <v>0</v>
      </c>
    </row>
    <row r="408" spans="1:10" ht="56.25">
      <c r="A408" s="26"/>
      <c r="B408" s="115" t="s">
        <v>425</v>
      </c>
      <c r="C408" s="11" t="s">
        <v>59</v>
      </c>
      <c r="D408" s="11" t="s">
        <v>111</v>
      </c>
      <c r="E408" s="1" t="s">
        <v>79</v>
      </c>
      <c r="F408" s="1" t="s">
        <v>664</v>
      </c>
      <c r="G408" s="12"/>
      <c r="H408" s="62">
        <f>H409</f>
        <v>60000</v>
      </c>
      <c r="I408" s="62">
        <f t="shared" si="48"/>
        <v>151398.09999999998</v>
      </c>
      <c r="J408" s="188">
        <f t="shared" si="48"/>
        <v>0</v>
      </c>
    </row>
    <row r="409" spans="1:10" ht="36">
      <c r="A409" s="26"/>
      <c r="B409" s="93" t="s">
        <v>199</v>
      </c>
      <c r="C409" s="9" t="s">
        <v>59</v>
      </c>
      <c r="D409" s="9" t="s">
        <v>111</v>
      </c>
      <c r="E409" s="9" t="s">
        <v>79</v>
      </c>
      <c r="F409" s="9" t="s">
        <v>664</v>
      </c>
      <c r="G409" s="9" t="s">
        <v>192</v>
      </c>
      <c r="H409" s="70">
        <f>6000+54000</f>
        <v>60000</v>
      </c>
      <c r="I409" s="70">
        <f>16653.8+134744.3</f>
        <v>151398.09999999998</v>
      </c>
      <c r="J409" s="13">
        <v>0</v>
      </c>
    </row>
    <row r="410" spans="1:10" ht="37.5">
      <c r="A410" s="26"/>
      <c r="B410" s="98" t="s">
        <v>763</v>
      </c>
      <c r="C410" s="29" t="s">
        <v>59</v>
      </c>
      <c r="D410" s="29" t="s">
        <v>111</v>
      </c>
      <c r="E410" s="30" t="s">
        <v>79</v>
      </c>
      <c r="F410" s="30" t="s">
        <v>764</v>
      </c>
      <c r="G410" s="21"/>
      <c r="H410" s="65">
        <f>H411</f>
        <v>31618.5</v>
      </c>
      <c r="I410" s="65">
        <f>I411</f>
        <v>0</v>
      </c>
      <c r="J410" s="65">
        <f>J411</f>
        <v>0</v>
      </c>
    </row>
    <row r="411" spans="1:10" ht="36">
      <c r="A411" s="26"/>
      <c r="B411" s="93" t="s">
        <v>199</v>
      </c>
      <c r="C411" s="57" t="s">
        <v>59</v>
      </c>
      <c r="D411" s="57" t="s">
        <v>111</v>
      </c>
      <c r="E411" s="57" t="s">
        <v>79</v>
      </c>
      <c r="F411" s="57" t="s">
        <v>764</v>
      </c>
      <c r="G411" s="10" t="s">
        <v>192</v>
      </c>
      <c r="H411" s="79">
        <v>31618.5</v>
      </c>
      <c r="I411" s="79">
        <v>0</v>
      </c>
      <c r="J411" s="245">
        <v>0</v>
      </c>
    </row>
    <row r="412" spans="1:11" ht="18.75">
      <c r="A412" s="26"/>
      <c r="B412" s="96" t="s">
        <v>275</v>
      </c>
      <c r="C412" s="22" t="s">
        <v>59</v>
      </c>
      <c r="D412" s="22" t="s">
        <v>111</v>
      </c>
      <c r="E412" s="23" t="s">
        <v>53</v>
      </c>
      <c r="F412" s="28"/>
      <c r="G412" s="28"/>
      <c r="H412" s="66">
        <f aca="true" t="shared" si="49" ref="H412:J415">H413</f>
        <v>691.1</v>
      </c>
      <c r="I412" s="66">
        <f t="shared" si="49"/>
        <v>673.3000000000001</v>
      </c>
      <c r="J412" s="186">
        <f t="shared" si="49"/>
        <v>680.9000000000001</v>
      </c>
      <c r="K412" s="204"/>
    </row>
    <row r="413" spans="1:10" ht="56.25">
      <c r="A413" s="26"/>
      <c r="B413" s="96" t="s">
        <v>222</v>
      </c>
      <c r="C413" s="22" t="s">
        <v>59</v>
      </c>
      <c r="D413" s="22" t="s">
        <v>111</v>
      </c>
      <c r="E413" s="23" t="s">
        <v>53</v>
      </c>
      <c r="F413" s="23" t="s">
        <v>339</v>
      </c>
      <c r="G413" s="28"/>
      <c r="H413" s="66">
        <f>H414</f>
        <v>691.1</v>
      </c>
      <c r="I413" s="66">
        <f t="shared" si="49"/>
        <v>673.3000000000001</v>
      </c>
      <c r="J413" s="186">
        <f t="shared" si="49"/>
        <v>680.9000000000001</v>
      </c>
    </row>
    <row r="414" spans="1:10" ht="18.75">
      <c r="A414" s="26"/>
      <c r="B414" s="95" t="s">
        <v>294</v>
      </c>
      <c r="C414" s="11" t="s">
        <v>59</v>
      </c>
      <c r="D414" s="11" t="s">
        <v>111</v>
      </c>
      <c r="E414" s="1" t="s">
        <v>53</v>
      </c>
      <c r="F414" s="1" t="s">
        <v>340</v>
      </c>
      <c r="G414" s="12"/>
      <c r="H414" s="66">
        <f t="shared" si="49"/>
        <v>691.1</v>
      </c>
      <c r="I414" s="66">
        <f t="shared" si="49"/>
        <v>673.3000000000001</v>
      </c>
      <c r="J414" s="186">
        <f t="shared" si="49"/>
        <v>680.9000000000001</v>
      </c>
    </row>
    <row r="415" spans="1:10" ht="37.5">
      <c r="A415" s="26"/>
      <c r="B415" s="96" t="s">
        <v>593</v>
      </c>
      <c r="C415" s="11" t="s">
        <v>59</v>
      </c>
      <c r="D415" s="11" t="s">
        <v>111</v>
      </c>
      <c r="E415" s="1" t="s">
        <v>53</v>
      </c>
      <c r="F415" s="1" t="s">
        <v>371</v>
      </c>
      <c r="G415" s="12"/>
      <c r="H415" s="62">
        <f t="shared" si="49"/>
        <v>691.1</v>
      </c>
      <c r="I415" s="62">
        <f t="shared" si="49"/>
        <v>673.3000000000001</v>
      </c>
      <c r="J415" s="188">
        <f t="shared" si="49"/>
        <v>680.9000000000001</v>
      </c>
    </row>
    <row r="416" spans="1:10" ht="56.25">
      <c r="A416" s="26"/>
      <c r="B416" s="144" t="s">
        <v>274</v>
      </c>
      <c r="C416" s="124" t="s">
        <v>59</v>
      </c>
      <c r="D416" s="124" t="s">
        <v>111</v>
      </c>
      <c r="E416" s="125" t="s">
        <v>53</v>
      </c>
      <c r="F416" s="125" t="s">
        <v>627</v>
      </c>
      <c r="G416" s="55"/>
      <c r="H416" s="126">
        <f>SUM(H417:H417)</f>
        <v>691.1</v>
      </c>
      <c r="I416" s="126">
        <f>SUM(I417:I417)</f>
        <v>673.3000000000001</v>
      </c>
      <c r="J416" s="267">
        <f>SUM(J417:J417)</f>
        <v>680.9000000000001</v>
      </c>
    </row>
    <row r="417" spans="1:10" ht="36">
      <c r="A417" s="26"/>
      <c r="B417" s="93" t="s">
        <v>204</v>
      </c>
      <c r="C417" s="9" t="s">
        <v>59</v>
      </c>
      <c r="D417" s="9" t="s">
        <v>111</v>
      </c>
      <c r="E417" s="9" t="s">
        <v>53</v>
      </c>
      <c r="F417" s="9" t="s">
        <v>627</v>
      </c>
      <c r="G417" s="9" t="s">
        <v>196</v>
      </c>
      <c r="H417" s="70">
        <f>69.1+622</f>
        <v>691.1</v>
      </c>
      <c r="I417" s="70">
        <f>74.1+599.2</f>
        <v>673.3000000000001</v>
      </c>
      <c r="J417" s="13">
        <f>81.7+599.2</f>
        <v>680.9000000000001</v>
      </c>
    </row>
    <row r="418" spans="1:10" ht="18.75">
      <c r="A418" s="26"/>
      <c r="B418" s="96" t="s">
        <v>186</v>
      </c>
      <c r="C418" s="22" t="s">
        <v>59</v>
      </c>
      <c r="D418" s="22" t="s">
        <v>111</v>
      </c>
      <c r="E418" s="23" t="s">
        <v>56</v>
      </c>
      <c r="F418" s="28"/>
      <c r="G418" s="28"/>
      <c r="H418" s="66">
        <f aca="true" t="shared" si="50" ref="H418:J424">H419</f>
        <v>9648.6</v>
      </c>
      <c r="I418" s="66">
        <f t="shared" si="50"/>
        <v>8558.9</v>
      </c>
      <c r="J418" s="186">
        <f t="shared" si="50"/>
        <v>8558.9</v>
      </c>
    </row>
    <row r="419" spans="1:10" ht="56.25">
      <c r="A419" s="26"/>
      <c r="B419" s="96" t="s">
        <v>222</v>
      </c>
      <c r="C419" s="22" t="s">
        <v>59</v>
      </c>
      <c r="D419" s="22" t="s">
        <v>111</v>
      </c>
      <c r="E419" s="23" t="s">
        <v>56</v>
      </c>
      <c r="F419" s="23" t="s">
        <v>339</v>
      </c>
      <c r="G419" s="28"/>
      <c r="H419" s="66">
        <f t="shared" si="50"/>
        <v>9648.6</v>
      </c>
      <c r="I419" s="66">
        <f t="shared" si="50"/>
        <v>8558.9</v>
      </c>
      <c r="J419" s="186">
        <f t="shared" si="50"/>
        <v>8558.9</v>
      </c>
    </row>
    <row r="420" spans="1:10" ht="18.75">
      <c r="A420" s="26"/>
      <c r="B420" s="95" t="s">
        <v>294</v>
      </c>
      <c r="C420" s="11" t="s">
        <v>59</v>
      </c>
      <c r="D420" s="11" t="s">
        <v>111</v>
      </c>
      <c r="E420" s="1" t="s">
        <v>56</v>
      </c>
      <c r="F420" s="1" t="s">
        <v>340</v>
      </c>
      <c r="G420" s="12"/>
      <c r="H420" s="66">
        <f t="shared" si="50"/>
        <v>9648.6</v>
      </c>
      <c r="I420" s="66">
        <f t="shared" si="50"/>
        <v>8558.9</v>
      </c>
      <c r="J420" s="186">
        <f t="shared" si="50"/>
        <v>8558.9</v>
      </c>
    </row>
    <row r="421" spans="1:10" ht="37.5">
      <c r="A421" s="26"/>
      <c r="B421" s="95" t="s">
        <v>373</v>
      </c>
      <c r="C421" s="11" t="s">
        <v>59</v>
      </c>
      <c r="D421" s="11" t="s">
        <v>111</v>
      </c>
      <c r="E421" s="1" t="s">
        <v>56</v>
      </c>
      <c r="F421" s="1" t="s">
        <v>371</v>
      </c>
      <c r="G421" s="12"/>
      <c r="H421" s="66">
        <f>H422+H424</f>
        <v>9648.6</v>
      </c>
      <c r="I421" s="66">
        <f t="shared" si="50"/>
        <v>8558.9</v>
      </c>
      <c r="J421" s="186">
        <f t="shared" si="50"/>
        <v>8558.9</v>
      </c>
    </row>
    <row r="422" spans="1:10" ht="37.5">
      <c r="A422" s="26"/>
      <c r="B422" s="108" t="s">
        <v>297</v>
      </c>
      <c r="C422" s="11" t="s">
        <v>59</v>
      </c>
      <c r="D422" s="11" t="s">
        <v>111</v>
      </c>
      <c r="E422" s="1" t="s">
        <v>56</v>
      </c>
      <c r="F422" s="1" t="s">
        <v>372</v>
      </c>
      <c r="G422" s="21"/>
      <c r="H422" s="65">
        <f t="shared" si="50"/>
        <v>8558.9</v>
      </c>
      <c r="I422" s="65">
        <f t="shared" si="50"/>
        <v>8558.9</v>
      </c>
      <c r="J422" s="100">
        <f t="shared" si="50"/>
        <v>8558.9</v>
      </c>
    </row>
    <row r="423" spans="1:10" ht="36">
      <c r="A423" s="26"/>
      <c r="B423" s="107" t="s">
        <v>204</v>
      </c>
      <c r="C423" s="9" t="s">
        <v>59</v>
      </c>
      <c r="D423" s="9" t="s">
        <v>111</v>
      </c>
      <c r="E423" s="9" t="s">
        <v>56</v>
      </c>
      <c r="F423" s="9" t="s">
        <v>372</v>
      </c>
      <c r="G423" s="9" t="s">
        <v>196</v>
      </c>
      <c r="H423" s="70">
        <v>8558.9</v>
      </c>
      <c r="I423" s="70">
        <v>8558.9</v>
      </c>
      <c r="J423" s="13">
        <v>8558.9</v>
      </c>
    </row>
    <row r="424" spans="1:10" ht="37.5">
      <c r="A424" s="26"/>
      <c r="B424" s="108" t="s">
        <v>735</v>
      </c>
      <c r="C424" s="11" t="s">
        <v>59</v>
      </c>
      <c r="D424" s="11" t="s">
        <v>111</v>
      </c>
      <c r="E424" s="1" t="s">
        <v>56</v>
      </c>
      <c r="F424" s="1" t="s">
        <v>734</v>
      </c>
      <c r="G424" s="21"/>
      <c r="H424" s="65">
        <f t="shared" si="50"/>
        <v>1089.7</v>
      </c>
      <c r="I424" s="65">
        <f t="shared" si="50"/>
        <v>0</v>
      </c>
      <c r="J424" s="100">
        <f t="shared" si="50"/>
        <v>0</v>
      </c>
    </row>
    <row r="425" spans="1:10" ht="36">
      <c r="A425" s="26"/>
      <c r="B425" s="107" t="s">
        <v>204</v>
      </c>
      <c r="C425" s="9" t="s">
        <v>59</v>
      </c>
      <c r="D425" s="9" t="s">
        <v>111</v>
      </c>
      <c r="E425" s="9" t="s">
        <v>56</v>
      </c>
      <c r="F425" s="9" t="s">
        <v>734</v>
      </c>
      <c r="G425" s="9" t="s">
        <v>196</v>
      </c>
      <c r="H425" s="70">
        <v>1089.7</v>
      </c>
      <c r="I425" s="70">
        <v>0</v>
      </c>
      <c r="J425" s="13">
        <v>0</v>
      </c>
    </row>
    <row r="426" spans="1:10" ht="18.75">
      <c r="A426" s="26"/>
      <c r="B426" s="96" t="s">
        <v>6</v>
      </c>
      <c r="C426" s="22" t="s">
        <v>59</v>
      </c>
      <c r="D426" s="22" t="s">
        <v>108</v>
      </c>
      <c r="E426" s="23"/>
      <c r="F426" s="28"/>
      <c r="G426" s="28"/>
      <c r="H426" s="66">
        <f>H427</f>
        <v>0</v>
      </c>
      <c r="I426" s="66">
        <f>I427</f>
        <v>352</v>
      </c>
      <c r="J426" s="186">
        <f>J427</f>
        <v>352</v>
      </c>
    </row>
    <row r="427" spans="1:10" ht="18.75">
      <c r="A427" s="26"/>
      <c r="B427" s="96" t="s">
        <v>7</v>
      </c>
      <c r="C427" s="22" t="s">
        <v>59</v>
      </c>
      <c r="D427" s="22" t="s">
        <v>108</v>
      </c>
      <c r="E427" s="23" t="s">
        <v>55</v>
      </c>
      <c r="F427" s="23"/>
      <c r="G427" s="28"/>
      <c r="H427" s="66">
        <f>H429</f>
        <v>0</v>
      </c>
      <c r="I427" s="66">
        <f>I429</f>
        <v>352</v>
      </c>
      <c r="J427" s="186">
        <f>J429</f>
        <v>352</v>
      </c>
    </row>
    <row r="428" spans="1:10" ht="18.75">
      <c r="A428" s="26"/>
      <c r="B428" s="96" t="s">
        <v>26</v>
      </c>
      <c r="C428" s="22" t="s">
        <v>59</v>
      </c>
      <c r="D428" s="22" t="s">
        <v>108</v>
      </c>
      <c r="E428" s="23" t="s">
        <v>55</v>
      </c>
      <c r="F428" s="122" t="s">
        <v>88</v>
      </c>
      <c r="G428" s="28"/>
      <c r="H428" s="66">
        <f aca="true" t="shared" si="51" ref="H428:J431">H429</f>
        <v>0</v>
      </c>
      <c r="I428" s="66">
        <f t="shared" si="51"/>
        <v>352</v>
      </c>
      <c r="J428" s="186">
        <f t="shared" si="51"/>
        <v>352</v>
      </c>
    </row>
    <row r="429" spans="1:10" ht="18.75">
      <c r="A429" s="26"/>
      <c r="B429" s="115" t="s">
        <v>35</v>
      </c>
      <c r="C429" s="16" t="s">
        <v>59</v>
      </c>
      <c r="D429" s="16" t="s">
        <v>108</v>
      </c>
      <c r="E429" s="17" t="s">
        <v>55</v>
      </c>
      <c r="F429" s="3" t="s">
        <v>89</v>
      </c>
      <c r="G429" s="18"/>
      <c r="H429" s="62">
        <f t="shared" si="51"/>
        <v>0</v>
      </c>
      <c r="I429" s="62">
        <f t="shared" si="51"/>
        <v>352</v>
      </c>
      <c r="J429" s="188">
        <f t="shared" si="51"/>
        <v>352</v>
      </c>
    </row>
    <row r="430" spans="1:10" ht="18.75">
      <c r="A430" s="26"/>
      <c r="B430" s="115" t="s">
        <v>35</v>
      </c>
      <c r="C430" s="16" t="s">
        <v>59</v>
      </c>
      <c r="D430" s="16" t="s">
        <v>108</v>
      </c>
      <c r="E430" s="17" t="s">
        <v>55</v>
      </c>
      <c r="F430" s="3" t="s">
        <v>90</v>
      </c>
      <c r="G430" s="18"/>
      <c r="H430" s="62">
        <f t="shared" si="51"/>
        <v>0</v>
      </c>
      <c r="I430" s="62">
        <f t="shared" si="51"/>
        <v>352</v>
      </c>
      <c r="J430" s="188">
        <f t="shared" si="51"/>
        <v>352</v>
      </c>
    </row>
    <row r="431" spans="1:10" ht="37.5">
      <c r="A431" s="26"/>
      <c r="B431" s="117" t="s">
        <v>393</v>
      </c>
      <c r="C431" s="16" t="s">
        <v>59</v>
      </c>
      <c r="D431" s="16" t="s">
        <v>108</v>
      </c>
      <c r="E431" s="17" t="s">
        <v>55</v>
      </c>
      <c r="F431" s="17" t="s">
        <v>117</v>
      </c>
      <c r="G431" s="18"/>
      <c r="H431" s="62">
        <f t="shared" si="51"/>
        <v>0</v>
      </c>
      <c r="I431" s="62">
        <f t="shared" si="51"/>
        <v>352</v>
      </c>
      <c r="J431" s="188">
        <f t="shared" si="51"/>
        <v>352</v>
      </c>
    </row>
    <row r="432" spans="1:10" ht="36.75" thickBot="1">
      <c r="A432" s="26"/>
      <c r="B432" s="103" t="s">
        <v>199</v>
      </c>
      <c r="C432" s="8" t="s">
        <v>59</v>
      </c>
      <c r="D432" s="8" t="s">
        <v>108</v>
      </c>
      <c r="E432" s="8" t="s">
        <v>55</v>
      </c>
      <c r="F432" s="8" t="s">
        <v>117</v>
      </c>
      <c r="G432" s="8" t="s">
        <v>192</v>
      </c>
      <c r="H432" s="70">
        <f>352-352</f>
        <v>0</v>
      </c>
      <c r="I432" s="70">
        <v>352</v>
      </c>
      <c r="J432" s="13">
        <v>352</v>
      </c>
    </row>
    <row r="433" spans="1:10" ht="57" thickBot="1">
      <c r="A433" s="159" t="s">
        <v>79</v>
      </c>
      <c r="B433" s="160" t="s">
        <v>33</v>
      </c>
      <c r="C433" s="161" t="s">
        <v>81</v>
      </c>
      <c r="D433" s="161"/>
      <c r="E433" s="162" t="s">
        <v>37</v>
      </c>
      <c r="F433" s="162" t="s">
        <v>37</v>
      </c>
      <c r="G433" s="162" t="s">
        <v>37</v>
      </c>
      <c r="H433" s="163">
        <f>H434+H464+H491+H512+H521+H457</f>
        <v>87201.4</v>
      </c>
      <c r="I433" s="163">
        <f>I434+I464+I491+I512+I521+I457</f>
        <v>51712.1</v>
      </c>
      <c r="J433" s="163">
        <f>J434+J464+J491+J512+J521+J457</f>
        <v>49664.1</v>
      </c>
    </row>
    <row r="434" spans="1:10" ht="18.75">
      <c r="A434" s="109"/>
      <c r="B434" s="113" t="s">
        <v>22</v>
      </c>
      <c r="C434" s="43" t="s">
        <v>81</v>
      </c>
      <c r="D434" s="43" t="s">
        <v>54</v>
      </c>
      <c r="E434" s="27"/>
      <c r="F434" s="44"/>
      <c r="G434" s="44"/>
      <c r="H434" s="80">
        <f>H435</f>
        <v>43176.99999999999</v>
      </c>
      <c r="I434" s="80">
        <f>I435</f>
        <v>34863.2</v>
      </c>
      <c r="J434" s="268">
        <f>J435</f>
        <v>34863.2</v>
      </c>
    </row>
    <row r="435" spans="1:10" ht="18.75">
      <c r="A435" s="109"/>
      <c r="B435" s="96" t="s">
        <v>21</v>
      </c>
      <c r="C435" s="22" t="s">
        <v>81</v>
      </c>
      <c r="D435" s="22" t="s">
        <v>54</v>
      </c>
      <c r="E435" s="23" t="s">
        <v>100</v>
      </c>
      <c r="F435" s="45"/>
      <c r="G435" s="45"/>
      <c r="H435" s="81">
        <f>H436+H450</f>
        <v>43176.99999999999</v>
      </c>
      <c r="I435" s="81">
        <f>I436+I450</f>
        <v>34863.2</v>
      </c>
      <c r="J435" s="269">
        <f>J436+J450</f>
        <v>34863.2</v>
      </c>
    </row>
    <row r="436" spans="1:10" ht="18.75">
      <c r="A436" s="109"/>
      <c r="B436" s="96" t="s">
        <v>73</v>
      </c>
      <c r="C436" s="22" t="s">
        <v>81</v>
      </c>
      <c r="D436" s="22" t="s">
        <v>54</v>
      </c>
      <c r="E436" s="23" t="s">
        <v>100</v>
      </c>
      <c r="F436" s="23" t="s">
        <v>95</v>
      </c>
      <c r="G436" s="28"/>
      <c r="H436" s="66">
        <f>H437+H442</f>
        <v>36795.799999999996</v>
      </c>
      <c r="I436" s="66">
        <f>I437+I442</f>
        <v>30629.899999999998</v>
      </c>
      <c r="J436" s="186">
        <f>J437+J442</f>
        <v>30629.899999999998</v>
      </c>
    </row>
    <row r="437" spans="1:10" ht="37.5">
      <c r="A437" s="109"/>
      <c r="B437" s="96" t="s">
        <v>31</v>
      </c>
      <c r="C437" s="22" t="s">
        <v>81</v>
      </c>
      <c r="D437" s="22" t="s">
        <v>54</v>
      </c>
      <c r="E437" s="23" t="s">
        <v>100</v>
      </c>
      <c r="F437" s="23" t="s">
        <v>97</v>
      </c>
      <c r="G437" s="28"/>
      <c r="H437" s="66">
        <f aca="true" t="shared" si="52" ref="H437:J438">H438</f>
        <v>32702.999999999996</v>
      </c>
      <c r="I437" s="66">
        <f t="shared" si="52"/>
        <v>30629.899999999998</v>
      </c>
      <c r="J437" s="186">
        <f t="shared" si="52"/>
        <v>30629.899999999998</v>
      </c>
    </row>
    <row r="438" spans="1:10" ht="18.75">
      <c r="A438" s="109"/>
      <c r="B438" s="96" t="s">
        <v>35</v>
      </c>
      <c r="C438" s="11" t="s">
        <v>81</v>
      </c>
      <c r="D438" s="11" t="s">
        <v>54</v>
      </c>
      <c r="E438" s="1" t="s">
        <v>100</v>
      </c>
      <c r="F438" s="1" t="s">
        <v>96</v>
      </c>
      <c r="G438" s="12"/>
      <c r="H438" s="62">
        <f t="shared" si="52"/>
        <v>32702.999999999996</v>
      </c>
      <c r="I438" s="62">
        <f t="shared" si="52"/>
        <v>30629.899999999998</v>
      </c>
      <c r="J438" s="188">
        <f t="shared" si="52"/>
        <v>30629.899999999998</v>
      </c>
    </row>
    <row r="439" spans="1:10" ht="18.75">
      <c r="A439" s="109"/>
      <c r="B439" s="95" t="s">
        <v>277</v>
      </c>
      <c r="C439" s="11" t="s">
        <v>81</v>
      </c>
      <c r="D439" s="11" t="s">
        <v>54</v>
      </c>
      <c r="E439" s="1" t="s">
        <v>100</v>
      </c>
      <c r="F439" s="1" t="s">
        <v>276</v>
      </c>
      <c r="G439" s="12"/>
      <c r="H439" s="62">
        <f>H440+H441</f>
        <v>32702.999999999996</v>
      </c>
      <c r="I439" s="62">
        <f>I440+I441</f>
        <v>30629.899999999998</v>
      </c>
      <c r="J439" s="188">
        <f>J440+J441</f>
        <v>30629.899999999998</v>
      </c>
    </row>
    <row r="440" spans="1:10" ht="54">
      <c r="A440" s="109"/>
      <c r="B440" s="112" t="s">
        <v>201</v>
      </c>
      <c r="C440" s="21" t="s">
        <v>81</v>
      </c>
      <c r="D440" s="21" t="s">
        <v>54</v>
      </c>
      <c r="E440" s="21" t="s">
        <v>100</v>
      </c>
      <c r="F440" s="21" t="s">
        <v>276</v>
      </c>
      <c r="G440" s="21" t="s">
        <v>191</v>
      </c>
      <c r="H440" s="68">
        <f>25650.6+5559.6</f>
        <v>31210.199999999997</v>
      </c>
      <c r="I440" s="68">
        <v>29137.1</v>
      </c>
      <c r="J440" s="99">
        <v>29137.1</v>
      </c>
    </row>
    <row r="441" spans="1:10" ht="36">
      <c r="A441" s="109"/>
      <c r="B441" s="107" t="s">
        <v>199</v>
      </c>
      <c r="C441" s="9" t="s">
        <v>81</v>
      </c>
      <c r="D441" s="9" t="s">
        <v>54</v>
      </c>
      <c r="E441" s="9" t="s">
        <v>100</v>
      </c>
      <c r="F441" s="9" t="s">
        <v>276</v>
      </c>
      <c r="G441" s="9" t="s">
        <v>192</v>
      </c>
      <c r="H441" s="70">
        <v>1492.8</v>
      </c>
      <c r="I441" s="70">
        <v>1492.8</v>
      </c>
      <c r="J441" s="13">
        <v>1492.8</v>
      </c>
    </row>
    <row r="442" spans="1:10" ht="56.25">
      <c r="A442" s="109"/>
      <c r="B442" s="213" t="s">
        <v>700</v>
      </c>
      <c r="C442" s="22" t="s">
        <v>81</v>
      </c>
      <c r="D442" s="22" t="s">
        <v>54</v>
      </c>
      <c r="E442" s="23" t="s">
        <v>100</v>
      </c>
      <c r="F442" s="23" t="s">
        <v>698</v>
      </c>
      <c r="G442" s="10"/>
      <c r="H442" s="78">
        <f>H443</f>
        <v>4092.8</v>
      </c>
      <c r="I442" s="78">
        <f>I443</f>
        <v>0</v>
      </c>
      <c r="J442" s="221">
        <f>J443</f>
        <v>0</v>
      </c>
    </row>
    <row r="443" spans="1:10" ht="18.75">
      <c r="A443" s="109"/>
      <c r="B443" s="213" t="s">
        <v>35</v>
      </c>
      <c r="C443" s="22" t="s">
        <v>81</v>
      </c>
      <c r="D443" s="22" t="s">
        <v>54</v>
      </c>
      <c r="E443" s="23" t="s">
        <v>100</v>
      </c>
      <c r="F443" s="23" t="s">
        <v>699</v>
      </c>
      <c r="G443" s="10"/>
      <c r="H443" s="78">
        <f>H444+H446+H448</f>
        <v>4092.8</v>
      </c>
      <c r="I443" s="78">
        <f>I444+I446+I448</f>
        <v>0</v>
      </c>
      <c r="J443" s="78">
        <f>J444+J446+J448</f>
        <v>0</v>
      </c>
    </row>
    <row r="444" spans="1:10" ht="37.5">
      <c r="A444" s="109"/>
      <c r="B444" s="138" t="s">
        <v>721</v>
      </c>
      <c r="C444" s="29" t="s">
        <v>81</v>
      </c>
      <c r="D444" s="29" t="s">
        <v>54</v>
      </c>
      <c r="E444" s="30" t="s">
        <v>100</v>
      </c>
      <c r="F444" s="30" t="s">
        <v>722</v>
      </c>
      <c r="G444" s="21"/>
      <c r="H444" s="65">
        <f>H445</f>
        <v>1683.5</v>
      </c>
      <c r="I444" s="65">
        <f>I445</f>
        <v>0</v>
      </c>
      <c r="J444" s="100">
        <f>J445</f>
        <v>0</v>
      </c>
    </row>
    <row r="445" spans="1:10" ht="54">
      <c r="A445" s="109"/>
      <c r="B445" s="214" t="s">
        <v>201</v>
      </c>
      <c r="C445" s="9" t="s">
        <v>81</v>
      </c>
      <c r="D445" s="9" t="s">
        <v>54</v>
      </c>
      <c r="E445" s="9" t="s">
        <v>100</v>
      </c>
      <c r="F445" s="9" t="s">
        <v>722</v>
      </c>
      <c r="G445" s="9" t="s">
        <v>191</v>
      </c>
      <c r="H445" s="70">
        <v>1683.5</v>
      </c>
      <c r="I445" s="70">
        <v>0</v>
      </c>
      <c r="J445" s="13">
        <v>0</v>
      </c>
    </row>
    <row r="446" spans="1:10" ht="37.5">
      <c r="A446" s="109"/>
      <c r="B446" s="215" t="s">
        <v>723</v>
      </c>
      <c r="C446" s="29" t="s">
        <v>81</v>
      </c>
      <c r="D446" s="29" t="s">
        <v>54</v>
      </c>
      <c r="E446" s="30" t="s">
        <v>100</v>
      </c>
      <c r="F446" s="30" t="s">
        <v>724</v>
      </c>
      <c r="G446" s="21"/>
      <c r="H446" s="65">
        <f>H447</f>
        <v>2198</v>
      </c>
      <c r="I446" s="65">
        <f>I447</f>
        <v>0</v>
      </c>
      <c r="J446" s="100">
        <f>J447</f>
        <v>0</v>
      </c>
    </row>
    <row r="447" spans="1:10" ht="36">
      <c r="A447" s="109"/>
      <c r="B447" s="216" t="s">
        <v>723</v>
      </c>
      <c r="C447" s="9" t="s">
        <v>81</v>
      </c>
      <c r="D447" s="9" t="s">
        <v>54</v>
      </c>
      <c r="E447" s="9" t="s">
        <v>100</v>
      </c>
      <c r="F447" s="9" t="s">
        <v>724</v>
      </c>
      <c r="G447" s="9" t="s">
        <v>191</v>
      </c>
      <c r="H447" s="70">
        <v>2198</v>
      </c>
      <c r="I447" s="70">
        <v>0</v>
      </c>
      <c r="J447" s="13">
        <v>0</v>
      </c>
    </row>
    <row r="448" spans="1:10" ht="37.5">
      <c r="A448" s="109"/>
      <c r="B448" s="138" t="s">
        <v>701</v>
      </c>
      <c r="C448" s="29" t="s">
        <v>81</v>
      </c>
      <c r="D448" s="29" t="s">
        <v>54</v>
      </c>
      <c r="E448" s="30" t="s">
        <v>100</v>
      </c>
      <c r="F448" s="30" t="s">
        <v>702</v>
      </c>
      <c r="G448" s="21"/>
      <c r="H448" s="65">
        <f>H449</f>
        <v>211.3</v>
      </c>
      <c r="I448" s="65">
        <f>I449</f>
        <v>0</v>
      </c>
      <c r="J448" s="65">
        <f>J449</f>
        <v>0</v>
      </c>
    </row>
    <row r="449" spans="1:10" ht="36">
      <c r="A449" s="109"/>
      <c r="B449" s="287" t="s">
        <v>723</v>
      </c>
      <c r="C449" s="9" t="s">
        <v>81</v>
      </c>
      <c r="D449" s="9" t="s">
        <v>54</v>
      </c>
      <c r="E449" s="9" t="s">
        <v>100</v>
      </c>
      <c r="F449" s="9" t="s">
        <v>702</v>
      </c>
      <c r="G449" s="9" t="s">
        <v>191</v>
      </c>
      <c r="H449" s="70">
        <v>211.3</v>
      </c>
      <c r="I449" s="70">
        <v>0</v>
      </c>
      <c r="J449" s="13">
        <v>0</v>
      </c>
    </row>
    <row r="450" spans="1:10" ht="18.75">
      <c r="A450" s="26"/>
      <c r="B450" s="114" t="s">
        <v>26</v>
      </c>
      <c r="C450" s="202" t="s">
        <v>81</v>
      </c>
      <c r="D450" s="53" t="s">
        <v>54</v>
      </c>
      <c r="E450" s="53" t="s">
        <v>100</v>
      </c>
      <c r="F450" s="53" t="s">
        <v>88</v>
      </c>
      <c r="G450" s="53"/>
      <c r="H450" s="203">
        <f>H452</f>
        <v>6381.2</v>
      </c>
      <c r="I450" s="203">
        <f>I452</f>
        <v>4233.3</v>
      </c>
      <c r="J450" s="270">
        <f>J452</f>
        <v>4233.3</v>
      </c>
    </row>
    <row r="451" spans="1:10" ht="18.75">
      <c r="A451" s="26"/>
      <c r="B451" s="96" t="s">
        <v>35</v>
      </c>
      <c r="C451" s="41" t="s">
        <v>81</v>
      </c>
      <c r="D451" s="41" t="s">
        <v>54</v>
      </c>
      <c r="E451" s="41" t="s">
        <v>100</v>
      </c>
      <c r="F451" s="41" t="s">
        <v>89</v>
      </c>
      <c r="G451" s="41"/>
      <c r="H451" s="83">
        <f>H452</f>
        <v>6381.2</v>
      </c>
      <c r="I451" s="83">
        <f>I452</f>
        <v>4233.3</v>
      </c>
      <c r="J451" s="264">
        <f>J452</f>
        <v>4233.3</v>
      </c>
    </row>
    <row r="452" spans="1:10" ht="18.75">
      <c r="A452" s="26"/>
      <c r="B452" s="96" t="s">
        <v>35</v>
      </c>
      <c r="C452" s="41" t="s">
        <v>81</v>
      </c>
      <c r="D452" s="41" t="s">
        <v>54</v>
      </c>
      <c r="E452" s="41" t="s">
        <v>100</v>
      </c>
      <c r="F452" s="41" t="s">
        <v>90</v>
      </c>
      <c r="G452" s="41"/>
      <c r="H452" s="83">
        <f>H453+H455</f>
        <v>6381.2</v>
      </c>
      <c r="I452" s="83">
        <f>I453+I455</f>
        <v>4233.3</v>
      </c>
      <c r="J452" s="264">
        <f>J453+J455</f>
        <v>4233.3</v>
      </c>
    </row>
    <row r="453" spans="1:10" ht="37.5">
      <c r="A453" s="26"/>
      <c r="B453" s="115" t="s">
        <v>123</v>
      </c>
      <c r="C453" s="31" t="s">
        <v>81</v>
      </c>
      <c r="D453" s="31" t="s">
        <v>54</v>
      </c>
      <c r="E453" s="31" t="s">
        <v>100</v>
      </c>
      <c r="F453" s="32" t="s">
        <v>92</v>
      </c>
      <c r="G453" s="46"/>
      <c r="H453" s="72">
        <f>SUM(H454:H454)</f>
        <v>6242.2</v>
      </c>
      <c r="I453" s="72">
        <f>SUM(I454:I454)</f>
        <v>3994.3</v>
      </c>
      <c r="J453" s="256">
        <f>SUM(J454:J454)</f>
        <v>3994.3</v>
      </c>
    </row>
    <row r="454" spans="1:10" ht="36">
      <c r="A454" s="26"/>
      <c r="B454" s="103" t="s">
        <v>199</v>
      </c>
      <c r="C454" s="34" t="s">
        <v>81</v>
      </c>
      <c r="D454" s="34" t="s">
        <v>54</v>
      </c>
      <c r="E454" s="34" t="s">
        <v>100</v>
      </c>
      <c r="F454" s="34" t="s">
        <v>92</v>
      </c>
      <c r="G454" s="34" t="s">
        <v>192</v>
      </c>
      <c r="H454" s="74">
        <f>3994.3+2672.5-274.6+0.1-150-0.1</f>
        <v>6242.2</v>
      </c>
      <c r="I454" s="74">
        <v>3994.3</v>
      </c>
      <c r="J454" s="197">
        <v>3994.3</v>
      </c>
    </row>
    <row r="455" spans="1:10" ht="56.25">
      <c r="A455" s="26"/>
      <c r="B455" s="115" t="s">
        <v>124</v>
      </c>
      <c r="C455" s="31" t="s">
        <v>81</v>
      </c>
      <c r="D455" s="31" t="s">
        <v>54</v>
      </c>
      <c r="E455" s="31" t="s">
        <v>100</v>
      </c>
      <c r="F455" s="32" t="s">
        <v>93</v>
      </c>
      <c r="G455" s="46"/>
      <c r="H455" s="72">
        <f>H456</f>
        <v>139</v>
      </c>
      <c r="I455" s="72">
        <f>I456</f>
        <v>239</v>
      </c>
      <c r="J455" s="256">
        <f>J456</f>
        <v>239</v>
      </c>
    </row>
    <row r="456" spans="1:10" ht="36">
      <c r="A456" s="26"/>
      <c r="B456" s="103" t="s">
        <v>199</v>
      </c>
      <c r="C456" s="34" t="s">
        <v>81</v>
      </c>
      <c r="D456" s="34" t="s">
        <v>54</v>
      </c>
      <c r="E456" s="34" t="s">
        <v>100</v>
      </c>
      <c r="F456" s="34" t="s">
        <v>93</v>
      </c>
      <c r="G456" s="34" t="s">
        <v>192</v>
      </c>
      <c r="H456" s="74">
        <f>239-100</f>
        <v>139</v>
      </c>
      <c r="I456" s="74">
        <v>239</v>
      </c>
      <c r="J456" s="197">
        <v>239</v>
      </c>
    </row>
    <row r="457" spans="1:10" ht="18.75">
      <c r="A457" s="26"/>
      <c r="B457" s="153" t="s">
        <v>17</v>
      </c>
      <c r="C457" s="3" t="s">
        <v>81</v>
      </c>
      <c r="D457" s="3" t="s">
        <v>53</v>
      </c>
      <c r="E457" s="50"/>
      <c r="F457" s="50"/>
      <c r="G457" s="50"/>
      <c r="H457" s="165">
        <f aca="true" t="shared" si="53" ref="H457:J462">H458</f>
        <v>259</v>
      </c>
      <c r="I457" s="165">
        <f t="shared" si="53"/>
        <v>0</v>
      </c>
      <c r="J457" s="165">
        <f t="shared" si="53"/>
        <v>0</v>
      </c>
    </row>
    <row r="458" spans="1:10" ht="37.5">
      <c r="A458" s="26"/>
      <c r="B458" s="134" t="s">
        <v>258</v>
      </c>
      <c r="C458" s="3" t="s">
        <v>81</v>
      </c>
      <c r="D458" s="3" t="s">
        <v>53</v>
      </c>
      <c r="E458" s="4" t="s">
        <v>28</v>
      </c>
      <c r="F458" s="50"/>
      <c r="G458" s="50"/>
      <c r="H458" s="165">
        <f t="shared" si="53"/>
        <v>259</v>
      </c>
      <c r="I458" s="165">
        <f t="shared" si="53"/>
        <v>0</v>
      </c>
      <c r="J458" s="165">
        <f t="shared" si="53"/>
        <v>0</v>
      </c>
    </row>
    <row r="459" spans="1:10" ht="18.75">
      <c r="A459" s="26"/>
      <c r="B459" s="217" t="s">
        <v>26</v>
      </c>
      <c r="C459" s="3" t="s">
        <v>81</v>
      </c>
      <c r="D459" s="3" t="s">
        <v>53</v>
      </c>
      <c r="E459" s="4" t="s">
        <v>28</v>
      </c>
      <c r="F459" s="53" t="s">
        <v>88</v>
      </c>
      <c r="G459" s="50"/>
      <c r="H459" s="165">
        <f t="shared" si="53"/>
        <v>259</v>
      </c>
      <c r="I459" s="165">
        <f t="shared" si="53"/>
        <v>0</v>
      </c>
      <c r="J459" s="165">
        <f t="shared" si="53"/>
        <v>0</v>
      </c>
    </row>
    <row r="460" spans="1:10" ht="18.75">
      <c r="A460" s="26"/>
      <c r="B460" s="217" t="s">
        <v>35</v>
      </c>
      <c r="C460" s="3" t="s">
        <v>81</v>
      </c>
      <c r="D460" s="3" t="s">
        <v>53</v>
      </c>
      <c r="E460" s="4" t="s">
        <v>28</v>
      </c>
      <c r="F460" s="41" t="s">
        <v>89</v>
      </c>
      <c r="G460" s="50"/>
      <c r="H460" s="165">
        <f t="shared" si="53"/>
        <v>259</v>
      </c>
      <c r="I460" s="165">
        <f t="shared" si="53"/>
        <v>0</v>
      </c>
      <c r="J460" s="165">
        <f t="shared" si="53"/>
        <v>0</v>
      </c>
    </row>
    <row r="461" spans="1:10" ht="18.75">
      <c r="A461" s="26"/>
      <c r="B461" s="217" t="s">
        <v>35</v>
      </c>
      <c r="C461" s="3" t="s">
        <v>81</v>
      </c>
      <c r="D461" s="3" t="s">
        <v>53</v>
      </c>
      <c r="E461" s="4" t="s">
        <v>28</v>
      </c>
      <c r="F461" s="41" t="s">
        <v>90</v>
      </c>
      <c r="G461" s="50"/>
      <c r="H461" s="165">
        <f t="shared" si="53"/>
        <v>259</v>
      </c>
      <c r="I461" s="165">
        <f t="shared" si="53"/>
        <v>0</v>
      </c>
      <c r="J461" s="165">
        <f t="shared" si="53"/>
        <v>0</v>
      </c>
    </row>
    <row r="462" spans="1:10" ht="112.5">
      <c r="A462" s="26"/>
      <c r="B462" s="196" t="s">
        <v>725</v>
      </c>
      <c r="C462" s="16" t="s">
        <v>81</v>
      </c>
      <c r="D462" s="16" t="s">
        <v>53</v>
      </c>
      <c r="E462" s="17" t="s">
        <v>28</v>
      </c>
      <c r="F462" s="48" t="s">
        <v>604</v>
      </c>
      <c r="G462" s="288"/>
      <c r="H462" s="121">
        <f t="shared" si="53"/>
        <v>259</v>
      </c>
      <c r="I462" s="121">
        <f t="shared" si="53"/>
        <v>0</v>
      </c>
      <c r="J462" s="121">
        <f t="shared" si="53"/>
        <v>0</v>
      </c>
    </row>
    <row r="463" spans="1:10" ht="18">
      <c r="A463" s="26"/>
      <c r="B463" s="219" t="s">
        <v>197</v>
      </c>
      <c r="C463" s="9" t="s">
        <v>81</v>
      </c>
      <c r="D463" s="9" t="s">
        <v>53</v>
      </c>
      <c r="E463" s="9" t="s">
        <v>28</v>
      </c>
      <c r="F463" s="54" t="s">
        <v>604</v>
      </c>
      <c r="G463" s="8" t="s">
        <v>195</v>
      </c>
      <c r="H463" s="74">
        <v>259</v>
      </c>
      <c r="I463" s="74">
        <v>0</v>
      </c>
      <c r="J463" s="197">
        <v>0</v>
      </c>
    </row>
    <row r="464" spans="1:10" ht="18.75">
      <c r="A464" s="26"/>
      <c r="B464" s="116" t="s">
        <v>16</v>
      </c>
      <c r="C464" s="3" t="s">
        <v>81</v>
      </c>
      <c r="D464" s="3" t="s">
        <v>55</v>
      </c>
      <c r="E464" s="4"/>
      <c r="F464" s="15"/>
      <c r="G464" s="15"/>
      <c r="H464" s="66">
        <f>H471+H465</f>
        <v>19498.899999999998</v>
      </c>
      <c r="I464" s="66">
        <f>I471+I465</f>
        <v>3048</v>
      </c>
      <c r="J464" s="186">
        <f>J471+J465</f>
        <v>1000</v>
      </c>
    </row>
    <row r="465" spans="1:10" ht="18.75">
      <c r="A465" s="26"/>
      <c r="B465" s="116" t="s">
        <v>0</v>
      </c>
      <c r="C465" s="3" t="s">
        <v>81</v>
      </c>
      <c r="D465" s="3" t="s">
        <v>55</v>
      </c>
      <c r="E465" s="4" t="s">
        <v>27</v>
      </c>
      <c r="F465" s="15"/>
      <c r="G465" s="15"/>
      <c r="H465" s="66">
        <f>H466</f>
        <v>2269.3</v>
      </c>
      <c r="I465" s="66">
        <f aca="true" t="shared" si="54" ref="I465:J469">I466</f>
        <v>0</v>
      </c>
      <c r="J465" s="186">
        <f t="shared" si="54"/>
        <v>0</v>
      </c>
    </row>
    <row r="466" spans="1:10" ht="18.75">
      <c r="A466" s="26"/>
      <c r="B466" s="217" t="s">
        <v>26</v>
      </c>
      <c r="C466" s="3" t="s">
        <v>81</v>
      </c>
      <c r="D466" s="3" t="s">
        <v>55</v>
      </c>
      <c r="E466" s="4" t="s">
        <v>27</v>
      </c>
      <c r="F466" s="53" t="s">
        <v>88</v>
      </c>
      <c r="G466" s="15"/>
      <c r="H466" s="66">
        <f>H467</f>
        <v>2269.3</v>
      </c>
      <c r="I466" s="66">
        <f t="shared" si="54"/>
        <v>0</v>
      </c>
      <c r="J466" s="186">
        <f t="shared" si="54"/>
        <v>0</v>
      </c>
    </row>
    <row r="467" spans="1:10" ht="18.75">
      <c r="A467" s="26"/>
      <c r="B467" s="217" t="s">
        <v>35</v>
      </c>
      <c r="C467" s="3" t="s">
        <v>81</v>
      </c>
      <c r="D467" s="3" t="s">
        <v>55</v>
      </c>
      <c r="E467" s="4" t="s">
        <v>27</v>
      </c>
      <c r="F467" s="41" t="s">
        <v>89</v>
      </c>
      <c r="G467" s="15"/>
      <c r="H467" s="66">
        <f>H468</f>
        <v>2269.3</v>
      </c>
      <c r="I467" s="66">
        <f t="shared" si="54"/>
        <v>0</v>
      </c>
      <c r="J467" s="186">
        <f t="shared" si="54"/>
        <v>0</v>
      </c>
    </row>
    <row r="468" spans="1:10" ht="18.75">
      <c r="A468" s="26"/>
      <c r="B468" s="217" t="s">
        <v>35</v>
      </c>
      <c r="C468" s="3" t="s">
        <v>81</v>
      </c>
      <c r="D468" s="3" t="s">
        <v>55</v>
      </c>
      <c r="E468" s="4" t="s">
        <v>27</v>
      </c>
      <c r="F468" s="41" t="s">
        <v>90</v>
      </c>
      <c r="G468" s="15"/>
      <c r="H468" s="66">
        <f>H469</f>
        <v>2269.3</v>
      </c>
      <c r="I468" s="66">
        <f t="shared" si="54"/>
        <v>0</v>
      </c>
      <c r="J468" s="186">
        <f t="shared" si="54"/>
        <v>0</v>
      </c>
    </row>
    <row r="469" spans="1:10" ht="108">
      <c r="A469" s="26"/>
      <c r="B469" s="218" t="s">
        <v>725</v>
      </c>
      <c r="C469" s="16" t="s">
        <v>81</v>
      </c>
      <c r="D469" s="16" t="s">
        <v>55</v>
      </c>
      <c r="E469" s="17" t="s">
        <v>27</v>
      </c>
      <c r="F469" s="48" t="s">
        <v>604</v>
      </c>
      <c r="G469" s="18"/>
      <c r="H469" s="62">
        <f>H470</f>
        <v>2269.3</v>
      </c>
      <c r="I469" s="62">
        <f t="shared" si="54"/>
        <v>0</v>
      </c>
      <c r="J469" s="188">
        <f t="shared" si="54"/>
        <v>0</v>
      </c>
    </row>
    <row r="470" spans="1:10" ht="18">
      <c r="A470" s="26"/>
      <c r="B470" s="219" t="s">
        <v>197</v>
      </c>
      <c r="C470" s="9" t="s">
        <v>81</v>
      </c>
      <c r="D470" s="9" t="s">
        <v>55</v>
      </c>
      <c r="E470" s="9" t="s">
        <v>27</v>
      </c>
      <c r="F470" s="54" t="s">
        <v>604</v>
      </c>
      <c r="G470" s="8" t="s">
        <v>195</v>
      </c>
      <c r="H470" s="70">
        <f>275.8+559.2+1434.3</f>
        <v>2269.3</v>
      </c>
      <c r="I470" s="70">
        <v>0</v>
      </c>
      <c r="J470" s="13">
        <v>0</v>
      </c>
    </row>
    <row r="471" spans="1:10" ht="18.75">
      <c r="A471" s="26"/>
      <c r="B471" s="116" t="s">
        <v>19</v>
      </c>
      <c r="C471" s="3" t="s">
        <v>81</v>
      </c>
      <c r="D471" s="3" t="s">
        <v>55</v>
      </c>
      <c r="E471" s="4" t="s">
        <v>108</v>
      </c>
      <c r="F471" s="15"/>
      <c r="G471" s="15"/>
      <c r="H471" s="66">
        <f>H480+H472</f>
        <v>17229.6</v>
      </c>
      <c r="I471" s="66">
        <f>I480+I472</f>
        <v>3048</v>
      </c>
      <c r="J471" s="186">
        <f>J480+J472</f>
        <v>1000</v>
      </c>
    </row>
    <row r="472" spans="1:10" ht="37.5">
      <c r="A472" s="26"/>
      <c r="B472" s="116" t="s">
        <v>68</v>
      </c>
      <c r="C472" s="3" t="s">
        <v>81</v>
      </c>
      <c r="D472" s="3" t="s">
        <v>55</v>
      </c>
      <c r="E472" s="4" t="s">
        <v>108</v>
      </c>
      <c r="F472" s="4" t="s">
        <v>307</v>
      </c>
      <c r="G472" s="15"/>
      <c r="H472" s="66">
        <f>H473</f>
        <v>1371.6</v>
      </c>
      <c r="I472" s="66">
        <f>I473</f>
        <v>2048</v>
      </c>
      <c r="J472" s="186">
        <f>J473</f>
        <v>0</v>
      </c>
    </row>
    <row r="473" spans="1:10" ht="18.75">
      <c r="A473" s="26"/>
      <c r="B473" s="116" t="s">
        <v>618</v>
      </c>
      <c r="C473" s="3" t="s">
        <v>81</v>
      </c>
      <c r="D473" s="3" t="s">
        <v>55</v>
      </c>
      <c r="E473" s="4" t="s">
        <v>108</v>
      </c>
      <c r="F473" s="4" t="s">
        <v>633</v>
      </c>
      <c r="G473" s="15"/>
      <c r="H473" s="66">
        <f>H474+H477</f>
        <v>1371.6</v>
      </c>
      <c r="I473" s="66">
        <f>I474+I477</f>
        <v>2048</v>
      </c>
      <c r="J473" s="186">
        <f>J474+J477</f>
        <v>0</v>
      </c>
    </row>
    <row r="474" spans="1:10" ht="37.5">
      <c r="A474" s="26"/>
      <c r="B474" s="115" t="s">
        <v>636</v>
      </c>
      <c r="C474" s="16" t="s">
        <v>81</v>
      </c>
      <c r="D474" s="16" t="s">
        <v>55</v>
      </c>
      <c r="E474" s="17" t="s">
        <v>108</v>
      </c>
      <c r="F474" s="17" t="s">
        <v>634</v>
      </c>
      <c r="G474" s="18"/>
      <c r="H474" s="62">
        <f>H475</f>
        <v>248.3</v>
      </c>
      <c r="I474" s="62">
        <f>I475</f>
        <v>499.7</v>
      </c>
      <c r="J474" s="188">
        <f>J475</f>
        <v>0</v>
      </c>
    </row>
    <row r="475" spans="1:10" ht="37.5">
      <c r="A475" s="26"/>
      <c r="B475" s="117" t="s">
        <v>637</v>
      </c>
      <c r="C475" s="16" t="s">
        <v>81</v>
      </c>
      <c r="D475" s="16" t="s">
        <v>55</v>
      </c>
      <c r="E475" s="17" t="s">
        <v>108</v>
      </c>
      <c r="F475" s="17" t="s">
        <v>635</v>
      </c>
      <c r="G475" s="18"/>
      <c r="H475" s="62">
        <f>SUM(H476:H476)</f>
        <v>248.3</v>
      </c>
      <c r="I475" s="62">
        <f>SUM(I476:I476)</f>
        <v>499.7</v>
      </c>
      <c r="J475" s="188">
        <f>SUM(J476:J476)</f>
        <v>0</v>
      </c>
    </row>
    <row r="476" spans="1:10" ht="36">
      <c r="A476" s="26"/>
      <c r="B476" s="107" t="s">
        <v>199</v>
      </c>
      <c r="C476" s="9" t="s">
        <v>81</v>
      </c>
      <c r="D476" s="9" t="s">
        <v>55</v>
      </c>
      <c r="E476" s="9" t="s">
        <v>108</v>
      </c>
      <c r="F476" s="9" t="s">
        <v>635</v>
      </c>
      <c r="G476" s="9" t="s">
        <v>192</v>
      </c>
      <c r="H476" s="70">
        <f>5.2+4.9+1.4+103.5+13.3+120</f>
        <v>248.3</v>
      </c>
      <c r="I476" s="70">
        <f>55+444.7</f>
        <v>499.7</v>
      </c>
      <c r="J476" s="13">
        <v>0</v>
      </c>
    </row>
    <row r="477" spans="1:10" ht="75">
      <c r="A477" s="26"/>
      <c r="B477" s="115" t="s">
        <v>640</v>
      </c>
      <c r="C477" s="16" t="s">
        <v>81</v>
      </c>
      <c r="D477" s="16" t="s">
        <v>55</v>
      </c>
      <c r="E477" s="17" t="s">
        <v>108</v>
      </c>
      <c r="F477" s="17" t="s">
        <v>638</v>
      </c>
      <c r="G477" s="18"/>
      <c r="H477" s="62">
        <f>H478</f>
        <v>1123.3</v>
      </c>
      <c r="I477" s="62">
        <f>I478</f>
        <v>1548.3</v>
      </c>
      <c r="J477" s="188">
        <f>J478</f>
        <v>0</v>
      </c>
    </row>
    <row r="478" spans="1:10" ht="18.75">
      <c r="A478" s="26"/>
      <c r="B478" s="117" t="s">
        <v>641</v>
      </c>
      <c r="C478" s="16" t="s">
        <v>81</v>
      </c>
      <c r="D478" s="16" t="s">
        <v>55</v>
      </c>
      <c r="E478" s="17" t="s">
        <v>108</v>
      </c>
      <c r="F478" s="17" t="s">
        <v>639</v>
      </c>
      <c r="G478" s="18"/>
      <c r="H478" s="62">
        <f>SUM(H479:H479)</f>
        <v>1123.3</v>
      </c>
      <c r="I478" s="62">
        <f>SUM(I479:I479)</f>
        <v>1548.3</v>
      </c>
      <c r="J478" s="188">
        <f>SUM(J479:J479)</f>
        <v>0</v>
      </c>
    </row>
    <row r="479" spans="1:10" ht="36">
      <c r="A479" s="26"/>
      <c r="B479" s="107" t="s">
        <v>199</v>
      </c>
      <c r="C479" s="9" t="s">
        <v>81</v>
      </c>
      <c r="D479" s="9" t="s">
        <v>55</v>
      </c>
      <c r="E479" s="9" t="s">
        <v>108</v>
      </c>
      <c r="F479" s="9" t="s">
        <v>639</v>
      </c>
      <c r="G479" s="9" t="s">
        <v>192</v>
      </c>
      <c r="H479" s="70">
        <f>4.9-1.4+108.8+1011</f>
        <v>1123.3</v>
      </c>
      <c r="I479" s="70">
        <f>123.6+46.7+1378</f>
        <v>1548.3</v>
      </c>
      <c r="J479" s="13">
        <v>0</v>
      </c>
    </row>
    <row r="480" spans="1:10" ht="18.75">
      <c r="A480" s="26"/>
      <c r="B480" s="96" t="s">
        <v>26</v>
      </c>
      <c r="C480" s="48" t="s">
        <v>81</v>
      </c>
      <c r="D480" s="48" t="s">
        <v>55</v>
      </c>
      <c r="E480" s="48" t="s">
        <v>108</v>
      </c>
      <c r="F480" s="48" t="s">
        <v>88</v>
      </c>
      <c r="G480" s="48"/>
      <c r="H480" s="84">
        <f aca="true" t="shared" si="55" ref="H480:J481">H481</f>
        <v>15858</v>
      </c>
      <c r="I480" s="84">
        <f t="shared" si="55"/>
        <v>1000</v>
      </c>
      <c r="J480" s="257">
        <f t="shared" si="55"/>
        <v>1000</v>
      </c>
    </row>
    <row r="481" spans="1:10" ht="18.75">
      <c r="A481" s="26"/>
      <c r="B481" s="116" t="s">
        <v>35</v>
      </c>
      <c r="C481" s="31" t="s">
        <v>81</v>
      </c>
      <c r="D481" s="31" t="s">
        <v>55</v>
      </c>
      <c r="E481" s="31" t="s">
        <v>108</v>
      </c>
      <c r="F481" s="31" t="s">
        <v>89</v>
      </c>
      <c r="G481" s="31"/>
      <c r="H481" s="84">
        <f t="shared" si="55"/>
        <v>15858</v>
      </c>
      <c r="I481" s="84">
        <f t="shared" si="55"/>
        <v>1000</v>
      </c>
      <c r="J481" s="257">
        <f t="shared" si="55"/>
        <v>1000</v>
      </c>
    </row>
    <row r="482" spans="1:10" ht="18.75">
      <c r="A482" s="26"/>
      <c r="B482" s="116" t="s">
        <v>35</v>
      </c>
      <c r="C482" s="31" t="s">
        <v>81</v>
      </c>
      <c r="D482" s="31" t="s">
        <v>55</v>
      </c>
      <c r="E482" s="31" t="s">
        <v>108</v>
      </c>
      <c r="F482" s="31" t="s">
        <v>90</v>
      </c>
      <c r="G482" s="31"/>
      <c r="H482" s="84">
        <f>H487+H485+H483+H489</f>
        <v>15858</v>
      </c>
      <c r="I482" s="84">
        <f>I487+I485+I483+I489</f>
        <v>1000</v>
      </c>
      <c r="J482" s="84">
        <f>J487+J485+J483+J489</f>
        <v>1000</v>
      </c>
    </row>
    <row r="483" spans="1:10" ht="37.5">
      <c r="A483" s="26"/>
      <c r="B483" s="97" t="s">
        <v>563</v>
      </c>
      <c r="C483" s="33" t="s">
        <v>81</v>
      </c>
      <c r="D483" s="33" t="s">
        <v>55</v>
      </c>
      <c r="E483" s="33" t="s">
        <v>108</v>
      </c>
      <c r="F483" s="33" t="s">
        <v>562</v>
      </c>
      <c r="G483" s="33"/>
      <c r="H483" s="73">
        <f>H484</f>
        <v>14500</v>
      </c>
      <c r="I483" s="73">
        <f>I484</f>
        <v>0</v>
      </c>
      <c r="J483" s="73">
        <f>J484</f>
        <v>0</v>
      </c>
    </row>
    <row r="484" spans="1:10" ht="36">
      <c r="A484" s="26"/>
      <c r="B484" s="93" t="s">
        <v>199</v>
      </c>
      <c r="C484" s="54" t="s">
        <v>81</v>
      </c>
      <c r="D484" s="54" t="s">
        <v>55</v>
      </c>
      <c r="E484" s="54" t="s">
        <v>108</v>
      </c>
      <c r="F484" s="54" t="s">
        <v>562</v>
      </c>
      <c r="G484" s="54" t="s">
        <v>192</v>
      </c>
      <c r="H484" s="74">
        <v>14500</v>
      </c>
      <c r="I484" s="74">
        <v>0</v>
      </c>
      <c r="J484" s="197">
        <v>0</v>
      </c>
    </row>
    <row r="485" spans="1:10" ht="18.75">
      <c r="A485" s="26"/>
      <c r="B485" s="115" t="s">
        <v>269</v>
      </c>
      <c r="C485" s="31" t="s">
        <v>81</v>
      </c>
      <c r="D485" s="31" t="s">
        <v>55</v>
      </c>
      <c r="E485" s="31" t="s">
        <v>108</v>
      </c>
      <c r="F485" s="31" t="s">
        <v>268</v>
      </c>
      <c r="G485" s="31"/>
      <c r="H485" s="84">
        <f>H486</f>
        <v>1045</v>
      </c>
      <c r="I485" s="84">
        <f>I486</f>
        <v>500</v>
      </c>
      <c r="J485" s="257">
        <f>J486</f>
        <v>500</v>
      </c>
    </row>
    <row r="486" spans="1:10" ht="36">
      <c r="A486" s="26"/>
      <c r="B486" s="103" t="s">
        <v>199</v>
      </c>
      <c r="C486" s="34" t="s">
        <v>81</v>
      </c>
      <c r="D486" s="34" t="s">
        <v>55</v>
      </c>
      <c r="E486" s="34" t="s">
        <v>108</v>
      </c>
      <c r="F486" s="34" t="s">
        <v>268</v>
      </c>
      <c r="G486" s="34" t="s">
        <v>192</v>
      </c>
      <c r="H486" s="74">
        <f>500+545</f>
        <v>1045</v>
      </c>
      <c r="I486" s="74">
        <v>500</v>
      </c>
      <c r="J486" s="197">
        <v>500</v>
      </c>
    </row>
    <row r="487" spans="1:10" ht="18.75">
      <c r="A487" s="26"/>
      <c r="B487" s="115" t="s">
        <v>125</v>
      </c>
      <c r="C487" s="31" t="s">
        <v>81</v>
      </c>
      <c r="D487" s="31" t="s">
        <v>55</v>
      </c>
      <c r="E487" s="31" t="s">
        <v>108</v>
      </c>
      <c r="F487" s="31" t="s">
        <v>91</v>
      </c>
      <c r="G487" s="31"/>
      <c r="H487" s="84">
        <f>H488</f>
        <v>105</v>
      </c>
      <c r="I487" s="84">
        <f>I488</f>
        <v>500</v>
      </c>
      <c r="J487" s="257">
        <f>J488</f>
        <v>500</v>
      </c>
    </row>
    <row r="488" spans="1:10" ht="36">
      <c r="A488" s="26"/>
      <c r="B488" s="103" t="s">
        <v>199</v>
      </c>
      <c r="C488" s="34" t="s">
        <v>81</v>
      </c>
      <c r="D488" s="34" t="s">
        <v>55</v>
      </c>
      <c r="E488" s="34" t="s">
        <v>108</v>
      </c>
      <c r="F488" s="34" t="s">
        <v>91</v>
      </c>
      <c r="G488" s="34" t="s">
        <v>192</v>
      </c>
      <c r="H488" s="74">
        <f>500-395</f>
        <v>105</v>
      </c>
      <c r="I488" s="74">
        <v>500</v>
      </c>
      <c r="J488" s="197">
        <v>500</v>
      </c>
    </row>
    <row r="489" spans="1:10" ht="112.5">
      <c r="A489" s="26"/>
      <c r="B489" s="196" t="s">
        <v>725</v>
      </c>
      <c r="C489" s="31" t="s">
        <v>81</v>
      </c>
      <c r="D489" s="31" t="s">
        <v>55</v>
      </c>
      <c r="E489" s="31" t="s">
        <v>108</v>
      </c>
      <c r="F489" s="31" t="s">
        <v>604</v>
      </c>
      <c r="G489" s="31"/>
      <c r="H489" s="121">
        <f>H490</f>
        <v>208</v>
      </c>
      <c r="I489" s="121">
        <f>I490</f>
        <v>0</v>
      </c>
      <c r="J489" s="121">
        <f>J490</f>
        <v>0</v>
      </c>
    </row>
    <row r="490" spans="1:10" ht="18">
      <c r="A490" s="26"/>
      <c r="B490" s="219" t="s">
        <v>197</v>
      </c>
      <c r="C490" s="34" t="s">
        <v>81</v>
      </c>
      <c r="D490" s="34" t="s">
        <v>55</v>
      </c>
      <c r="E490" s="34" t="s">
        <v>108</v>
      </c>
      <c r="F490" s="34" t="s">
        <v>604</v>
      </c>
      <c r="G490" s="34" t="s">
        <v>195</v>
      </c>
      <c r="H490" s="74">
        <v>208</v>
      </c>
      <c r="I490" s="74">
        <v>0</v>
      </c>
      <c r="J490" s="197">
        <v>0</v>
      </c>
    </row>
    <row r="491" spans="1:10" ht="18.75">
      <c r="A491" s="26"/>
      <c r="B491" s="116" t="s">
        <v>42</v>
      </c>
      <c r="C491" s="3" t="s">
        <v>81</v>
      </c>
      <c r="D491" s="3" t="s">
        <v>56</v>
      </c>
      <c r="E491" s="4"/>
      <c r="F491" s="15"/>
      <c r="G491" s="15"/>
      <c r="H491" s="66">
        <f>H492+H500+H506</f>
        <v>6752.7</v>
      </c>
      <c r="I491" s="66">
        <f>I492+I500+I506</f>
        <v>566.3</v>
      </c>
      <c r="J491" s="66">
        <f>J492+J500+J506</f>
        <v>566.3</v>
      </c>
    </row>
    <row r="492" spans="1:11" ht="18.75">
      <c r="A492" s="26"/>
      <c r="B492" s="116" t="s">
        <v>2</v>
      </c>
      <c r="C492" s="3" t="s">
        <v>81</v>
      </c>
      <c r="D492" s="3" t="s">
        <v>56</v>
      </c>
      <c r="E492" s="4" t="s">
        <v>54</v>
      </c>
      <c r="F492" s="4"/>
      <c r="G492" s="15"/>
      <c r="H492" s="66">
        <f aca="true" t="shared" si="56" ref="H492:J495">H493</f>
        <v>4236.4</v>
      </c>
      <c r="I492" s="66">
        <f t="shared" si="56"/>
        <v>566.3</v>
      </c>
      <c r="J492" s="186">
        <f t="shared" si="56"/>
        <v>566.3</v>
      </c>
      <c r="K492" s="204"/>
    </row>
    <row r="493" spans="1:10" ht="18.75">
      <c r="A493" s="26"/>
      <c r="B493" s="97" t="s">
        <v>26</v>
      </c>
      <c r="C493" s="3" t="s">
        <v>81</v>
      </c>
      <c r="D493" s="3" t="s">
        <v>56</v>
      </c>
      <c r="E493" s="4" t="s">
        <v>54</v>
      </c>
      <c r="F493" s="22" t="s">
        <v>88</v>
      </c>
      <c r="G493" s="15"/>
      <c r="H493" s="66">
        <f t="shared" si="56"/>
        <v>4236.4</v>
      </c>
      <c r="I493" s="66">
        <f t="shared" si="56"/>
        <v>566.3</v>
      </c>
      <c r="J493" s="186">
        <f t="shared" si="56"/>
        <v>566.3</v>
      </c>
    </row>
    <row r="494" spans="1:10" ht="18.75">
      <c r="A494" s="26"/>
      <c r="B494" s="116" t="s">
        <v>35</v>
      </c>
      <c r="C494" s="3" t="s">
        <v>81</v>
      </c>
      <c r="D494" s="3" t="s">
        <v>56</v>
      </c>
      <c r="E494" s="4" t="s">
        <v>54</v>
      </c>
      <c r="F494" s="22" t="s">
        <v>89</v>
      </c>
      <c r="G494" s="15"/>
      <c r="H494" s="66">
        <f t="shared" si="56"/>
        <v>4236.4</v>
      </c>
      <c r="I494" s="66">
        <f t="shared" si="56"/>
        <v>566.3</v>
      </c>
      <c r="J494" s="186">
        <f t="shared" si="56"/>
        <v>566.3</v>
      </c>
    </row>
    <row r="495" spans="1:10" ht="18.75">
      <c r="A495" s="26"/>
      <c r="B495" s="116" t="s">
        <v>35</v>
      </c>
      <c r="C495" s="3" t="s">
        <v>81</v>
      </c>
      <c r="D495" s="3" t="s">
        <v>56</v>
      </c>
      <c r="E495" s="4" t="s">
        <v>54</v>
      </c>
      <c r="F495" s="22" t="s">
        <v>90</v>
      </c>
      <c r="G495" s="15"/>
      <c r="H495" s="66">
        <f>H496+H498</f>
        <v>4236.4</v>
      </c>
      <c r="I495" s="66">
        <f t="shared" si="56"/>
        <v>566.3</v>
      </c>
      <c r="J495" s="186">
        <f t="shared" si="56"/>
        <v>566.3</v>
      </c>
    </row>
    <row r="496" spans="1:10" ht="56.25">
      <c r="A496" s="26"/>
      <c r="B496" s="127" t="s">
        <v>555</v>
      </c>
      <c r="C496" s="38" t="s">
        <v>81</v>
      </c>
      <c r="D496" s="38" t="s">
        <v>56</v>
      </c>
      <c r="E496" s="39" t="s">
        <v>54</v>
      </c>
      <c r="F496" s="31" t="s">
        <v>554</v>
      </c>
      <c r="G496" s="39"/>
      <c r="H496" s="77">
        <f>SUM(H497:H497)</f>
        <v>940.9</v>
      </c>
      <c r="I496" s="77">
        <f>SUM(I497:I497)</f>
        <v>566.3</v>
      </c>
      <c r="J496" s="223">
        <f>SUM(J497:J497)</f>
        <v>566.3</v>
      </c>
    </row>
    <row r="497" spans="1:10" ht="36">
      <c r="A497" s="26"/>
      <c r="B497" s="93" t="s">
        <v>199</v>
      </c>
      <c r="C497" s="8" t="s">
        <v>81</v>
      </c>
      <c r="D497" s="8" t="s">
        <v>56</v>
      </c>
      <c r="E497" s="8" t="s">
        <v>54</v>
      </c>
      <c r="F497" s="8" t="s">
        <v>554</v>
      </c>
      <c r="G497" s="8" t="s">
        <v>192</v>
      </c>
      <c r="H497" s="70">
        <f>566.3+374.6</f>
        <v>940.9</v>
      </c>
      <c r="I497" s="70">
        <v>566.3</v>
      </c>
      <c r="J497" s="13">
        <v>566.3</v>
      </c>
    </row>
    <row r="498" spans="1:10" ht="108">
      <c r="A498" s="26"/>
      <c r="B498" s="218" t="s">
        <v>725</v>
      </c>
      <c r="C498" s="16" t="s">
        <v>81</v>
      </c>
      <c r="D498" s="16" t="s">
        <v>56</v>
      </c>
      <c r="E498" s="17" t="s">
        <v>54</v>
      </c>
      <c r="F498" s="48" t="s">
        <v>604</v>
      </c>
      <c r="G498" s="18"/>
      <c r="H498" s="62">
        <f>H499</f>
        <v>3295.5</v>
      </c>
      <c r="I498" s="62">
        <f>I499</f>
        <v>0</v>
      </c>
      <c r="J498" s="188">
        <f>J499</f>
        <v>0</v>
      </c>
    </row>
    <row r="499" spans="1:10" ht="18">
      <c r="A499" s="26"/>
      <c r="B499" s="219" t="s">
        <v>197</v>
      </c>
      <c r="C499" s="9" t="s">
        <v>81</v>
      </c>
      <c r="D499" s="9" t="s">
        <v>56</v>
      </c>
      <c r="E499" s="9" t="s">
        <v>54</v>
      </c>
      <c r="F499" s="54" t="s">
        <v>604</v>
      </c>
      <c r="G499" s="8" t="s">
        <v>195</v>
      </c>
      <c r="H499" s="70">
        <f>1043.8+2251.7</f>
        <v>3295.5</v>
      </c>
      <c r="I499" s="70">
        <v>0</v>
      </c>
      <c r="J499" s="13">
        <v>0</v>
      </c>
    </row>
    <row r="500" spans="1:11" ht="18.75">
      <c r="A500" s="26"/>
      <c r="B500" s="289" t="s">
        <v>743</v>
      </c>
      <c r="C500" s="3" t="s">
        <v>81</v>
      </c>
      <c r="D500" s="3" t="s">
        <v>56</v>
      </c>
      <c r="E500" s="4" t="s">
        <v>79</v>
      </c>
      <c r="F500" s="210"/>
      <c r="G500" s="24"/>
      <c r="H500" s="78">
        <f aca="true" t="shared" si="57" ref="H500:J503">H501</f>
        <v>680.5</v>
      </c>
      <c r="I500" s="78">
        <f t="shared" si="57"/>
        <v>0</v>
      </c>
      <c r="J500" s="78">
        <f t="shared" si="57"/>
        <v>0</v>
      </c>
      <c r="K500" s="204"/>
    </row>
    <row r="501" spans="1:10" ht="18.75">
      <c r="A501" s="26"/>
      <c r="B501" s="97" t="s">
        <v>26</v>
      </c>
      <c r="C501" s="3" t="s">
        <v>81</v>
      </c>
      <c r="D501" s="3" t="s">
        <v>56</v>
      </c>
      <c r="E501" s="4" t="s">
        <v>79</v>
      </c>
      <c r="F501" s="22" t="s">
        <v>88</v>
      </c>
      <c r="G501" s="24"/>
      <c r="H501" s="78">
        <f t="shared" si="57"/>
        <v>680.5</v>
      </c>
      <c r="I501" s="78">
        <f t="shared" si="57"/>
        <v>0</v>
      </c>
      <c r="J501" s="78">
        <f t="shared" si="57"/>
        <v>0</v>
      </c>
    </row>
    <row r="502" spans="1:10" ht="18.75">
      <c r="A502" s="26"/>
      <c r="B502" s="116" t="s">
        <v>35</v>
      </c>
      <c r="C502" s="3" t="s">
        <v>81</v>
      </c>
      <c r="D502" s="3" t="s">
        <v>56</v>
      </c>
      <c r="E502" s="4" t="s">
        <v>79</v>
      </c>
      <c r="F502" s="22" t="s">
        <v>89</v>
      </c>
      <c r="G502" s="24"/>
      <c r="H502" s="78">
        <f t="shared" si="57"/>
        <v>680.5</v>
      </c>
      <c r="I502" s="78">
        <f t="shared" si="57"/>
        <v>0</v>
      </c>
      <c r="J502" s="78">
        <f t="shared" si="57"/>
        <v>0</v>
      </c>
    </row>
    <row r="503" spans="1:10" ht="18.75">
      <c r="A503" s="26"/>
      <c r="B503" s="116" t="s">
        <v>35</v>
      </c>
      <c r="C503" s="3" t="s">
        <v>81</v>
      </c>
      <c r="D503" s="3" t="s">
        <v>56</v>
      </c>
      <c r="E503" s="4" t="s">
        <v>79</v>
      </c>
      <c r="F503" s="22" t="s">
        <v>90</v>
      </c>
      <c r="G503" s="24"/>
      <c r="H503" s="78">
        <f t="shared" si="57"/>
        <v>680.5</v>
      </c>
      <c r="I503" s="78">
        <f t="shared" si="57"/>
        <v>0</v>
      </c>
      <c r="J503" s="78">
        <f t="shared" si="57"/>
        <v>0</v>
      </c>
    </row>
    <row r="504" spans="1:10" ht="112.5">
      <c r="A504" s="26"/>
      <c r="B504" s="290" t="s">
        <v>725</v>
      </c>
      <c r="C504" s="16" t="s">
        <v>81</v>
      </c>
      <c r="D504" s="16" t="s">
        <v>56</v>
      </c>
      <c r="E504" s="17" t="s">
        <v>79</v>
      </c>
      <c r="F504" s="11" t="s">
        <v>604</v>
      </c>
      <c r="G504" s="37"/>
      <c r="H504" s="77">
        <f>H505</f>
        <v>680.5</v>
      </c>
      <c r="I504" s="120">
        <v>0</v>
      </c>
      <c r="J504" s="266">
        <v>0</v>
      </c>
    </row>
    <row r="505" spans="1:10" ht="18">
      <c r="A505" s="26"/>
      <c r="B505" s="219" t="s">
        <v>197</v>
      </c>
      <c r="C505" s="9" t="s">
        <v>81</v>
      </c>
      <c r="D505" s="9" t="s">
        <v>56</v>
      </c>
      <c r="E505" s="9" t="s">
        <v>79</v>
      </c>
      <c r="F505" s="54" t="s">
        <v>604</v>
      </c>
      <c r="G505" s="8" t="s">
        <v>195</v>
      </c>
      <c r="H505" s="70">
        <v>680.5</v>
      </c>
      <c r="I505" s="70">
        <v>0</v>
      </c>
      <c r="J505" s="13">
        <v>0</v>
      </c>
    </row>
    <row r="506" spans="1:10" ht="18.75">
      <c r="A506" s="26"/>
      <c r="B506" s="289" t="s">
        <v>588</v>
      </c>
      <c r="C506" s="3" t="s">
        <v>81</v>
      </c>
      <c r="D506" s="3" t="s">
        <v>56</v>
      </c>
      <c r="E506" s="4" t="s">
        <v>53</v>
      </c>
      <c r="F506" s="210"/>
      <c r="G506" s="24"/>
      <c r="H506" s="78">
        <f aca="true" t="shared" si="58" ref="H506:J509">H507</f>
        <v>1835.8</v>
      </c>
      <c r="I506" s="78">
        <f t="shared" si="58"/>
        <v>0</v>
      </c>
      <c r="J506" s="78">
        <f t="shared" si="58"/>
        <v>0</v>
      </c>
    </row>
    <row r="507" spans="1:10" ht="18.75">
      <c r="A507" s="26"/>
      <c r="B507" s="97" t="s">
        <v>26</v>
      </c>
      <c r="C507" s="3" t="s">
        <v>81</v>
      </c>
      <c r="D507" s="3" t="s">
        <v>56</v>
      </c>
      <c r="E507" s="4" t="s">
        <v>53</v>
      </c>
      <c r="F507" s="22" t="s">
        <v>88</v>
      </c>
      <c r="G507" s="24"/>
      <c r="H507" s="78">
        <f t="shared" si="58"/>
        <v>1835.8</v>
      </c>
      <c r="I507" s="78">
        <f t="shared" si="58"/>
        <v>0</v>
      </c>
      <c r="J507" s="78">
        <f t="shared" si="58"/>
        <v>0</v>
      </c>
    </row>
    <row r="508" spans="1:10" ht="18.75">
      <c r="A508" s="26"/>
      <c r="B508" s="116" t="s">
        <v>35</v>
      </c>
      <c r="C508" s="3" t="s">
        <v>81</v>
      </c>
      <c r="D508" s="3" t="s">
        <v>56</v>
      </c>
      <c r="E508" s="4" t="s">
        <v>53</v>
      </c>
      <c r="F508" s="22" t="s">
        <v>89</v>
      </c>
      <c r="G508" s="24"/>
      <c r="H508" s="78">
        <f t="shared" si="58"/>
        <v>1835.8</v>
      </c>
      <c r="I508" s="78">
        <f t="shared" si="58"/>
        <v>0</v>
      </c>
      <c r="J508" s="78">
        <f t="shared" si="58"/>
        <v>0</v>
      </c>
    </row>
    <row r="509" spans="1:10" ht="18.75">
      <c r="A509" s="26"/>
      <c r="B509" s="116" t="s">
        <v>35</v>
      </c>
      <c r="C509" s="3" t="s">
        <v>81</v>
      </c>
      <c r="D509" s="3" t="s">
        <v>56</v>
      </c>
      <c r="E509" s="4" t="s">
        <v>53</v>
      </c>
      <c r="F509" s="22" t="s">
        <v>90</v>
      </c>
      <c r="G509" s="24"/>
      <c r="H509" s="78">
        <f t="shared" si="58"/>
        <v>1835.8</v>
      </c>
      <c r="I509" s="78">
        <f t="shared" si="58"/>
        <v>0</v>
      </c>
      <c r="J509" s="78">
        <f t="shared" si="58"/>
        <v>0</v>
      </c>
    </row>
    <row r="510" spans="1:10" ht="112.5">
      <c r="A510" s="26"/>
      <c r="B510" s="290" t="s">
        <v>725</v>
      </c>
      <c r="C510" s="16" t="s">
        <v>81</v>
      </c>
      <c r="D510" s="16" t="s">
        <v>56</v>
      </c>
      <c r="E510" s="17" t="s">
        <v>53</v>
      </c>
      <c r="F510" s="11" t="s">
        <v>604</v>
      </c>
      <c r="G510" s="37"/>
      <c r="H510" s="77">
        <f>H511</f>
        <v>1835.8</v>
      </c>
      <c r="I510" s="120">
        <v>0</v>
      </c>
      <c r="J510" s="266">
        <v>0</v>
      </c>
    </row>
    <row r="511" spans="1:10" ht="18">
      <c r="A511" s="26"/>
      <c r="B511" s="219" t="s">
        <v>197</v>
      </c>
      <c r="C511" s="9" t="s">
        <v>81</v>
      </c>
      <c r="D511" s="9" t="s">
        <v>56</v>
      </c>
      <c r="E511" s="9" t="s">
        <v>53</v>
      </c>
      <c r="F511" s="54" t="s">
        <v>604</v>
      </c>
      <c r="G511" s="8" t="s">
        <v>195</v>
      </c>
      <c r="H511" s="70">
        <v>1835.8</v>
      </c>
      <c r="I511" s="70">
        <v>0</v>
      </c>
      <c r="J511" s="13">
        <v>0</v>
      </c>
    </row>
    <row r="512" spans="1:10" ht="18.75">
      <c r="A512" s="26"/>
      <c r="B512" s="96" t="s">
        <v>6</v>
      </c>
      <c r="C512" s="22" t="s">
        <v>81</v>
      </c>
      <c r="D512" s="22" t="s">
        <v>108</v>
      </c>
      <c r="E512" s="23"/>
      <c r="F512" s="28"/>
      <c r="G512" s="28"/>
      <c r="H512" s="66">
        <f>H513</f>
        <v>6269.6</v>
      </c>
      <c r="I512" s="66">
        <f>I513</f>
        <v>6134.6</v>
      </c>
      <c r="J512" s="186">
        <f>J513</f>
        <v>6134.6</v>
      </c>
    </row>
    <row r="513" spans="1:10" ht="18.75">
      <c r="A513" s="26"/>
      <c r="B513" s="96" t="s">
        <v>223</v>
      </c>
      <c r="C513" s="22" t="s">
        <v>81</v>
      </c>
      <c r="D513" s="22" t="s">
        <v>108</v>
      </c>
      <c r="E513" s="23" t="s">
        <v>79</v>
      </c>
      <c r="F513" s="23"/>
      <c r="G513" s="28"/>
      <c r="H513" s="66">
        <f>H515</f>
        <v>6269.6</v>
      </c>
      <c r="I513" s="66">
        <f>I515</f>
        <v>6134.6</v>
      </c>
      <c r="J513" s="186">
        <f>J515</f>
        <v>6134.6</v>
      </c>
    </row>
    <row r="514" spans="1:10" ht="37.5">
      <c r="A514" s="26"/>
      <c r="B514" s="96" t="s">
        <v>584</v>
      </c>
      <c r="C514" s="3" t="s">
        <v>81</v>
      </c>
      <c r="D514" s="3" t="s">
        <v>108</v>
      </c>
      <c r="E514" s="4" t="s">
        <v>79</v>
      </c>
      <c r="F514" s="40" t="s">
        <v>285</v>
      </c>
      <c r="G514" s="15"/>
      <c r="H514" s="66">
        <f aca="true" t="shared" si="59" ref="H514:J519">H515</f>
        <v>6269.6</v>
      </c>
      <c r="I514" s="66">
        <f t="shared" si="59"/>
        <v>6134.6</v>
      </c>
      <c r="J514" s="186">
        <f t="shared" si="59"/>
        <v>6134.6</v>
      </c>
    </row>
    <row r="515" spans="1:10" ht="18.75">
      <c r="A515" s="26"/>
      <c r="B515" s="95" t="s">
        <v>286</v>
      </c>
      <c r="C515" s="16" t="s">
        <v>81</v>
      </c>
      <c r="D515" s="16" t="s">
        <v>108</v>
      </c>
      <c r="E515" s="17" t="s">
        <v>79</v>
      </c>
      <c r="F515" s="3" t="s">
        <v>287</v>
      </c>
      <c r="G515" s="18"/>
      <c r="H515" s="62">
        <f t="shared" si="59"/>
        <v>6269.6</v>
      </c>
      <c r="I515" s="62">
        <f t="shared" si="59"/>
        <v>6134.6</v>
      </c>
      <c r="J515" s="188">
        <f t="shared" si="59"/>
        <v>6134.6</v>
      </c>
    </row>
    <row r="516" spans="1:10" ht="37.5">
      <c r="A516" s="26"/>
      <c r="B516" s="96" t="s">
        <v>397</v>
      </c>
      <c r="C516" s="3" t="s">
        <v>81</v>
      </c>
      <c r="D516" s="3" t="s">
        <v>108</v>
      </c>
      <c r="E516" s="4" t="s">
        <v>79</v>
      </c>
      <c r="F516" s="3" t="s">
        <v>394</v>
      </c>
      <c r="G516" s="15"/>
      <c r="H516" s="66">
        <f>H517+H519</f>
        <v>6269.6</v>
      </c>
      <c r="I516" s="66">
        <f>I517+I519</f>
        <v>6134.6</v>
      </c>
      <c r="J516" s="186">
        <f>J517+J519</f>
        <v>6134.6</v>
      </c>
    </row>
    <row r="517" spans="1:10" ht="136.5" customHeight="1">
      <c r="A517" s="26"/>
      <c r="B517" s="108" t="s">
        <v>585</v>
      </c>
      <c r="C517" s="16" t="s">
        <v>81</v>
      </c>
      <c r="D517" s="16" t="s">
        <v>108</v>
      </c>
      <c r="E517" s="17" t="s">
        <v>79</v>
      </c>
      <c r="F517" s="11" t="s">
        <v>395</v>
      </c>
      <c r="G517" s="18"/>
      <c r="H517" s="62">
        <f t="shared" si="59"/>
        <v>323</v>
      </c>
      <c r="I517" s="62">
        <f t="shared" si="59"/>
        <v>323</v>
      </c>
      <c r="J517" s="188">
        <f t="shared" si="59"/>
        <v>323</v>
      </c>
    </row>
    <row r="518" spans="1:10" ht="18">
      <c r="A518" s="26"/>
      <c r="B518" s="107" t="s">
        <v>200</v>
      </c>
      <c r="C518" s="8" t="s">
        <v>81</v>
      </c>
      <c r="D518" s="8" t="s">
        <v>108</v>
      </c>
      <c r="E518" s="8" t="s">
        <v>79</v>
      </c>
      <c r="F518" s="8" t="s">
        <v>395</v>
      </c>
      <c r="G518" s="8" t="s">
        <v>194</v>
      </c>
      <c r="H518" s="70">
        <f>1490+357-1524</f>
        <v>323</v>
      </c>
      <c r="I518" s="70">
        <f>1490+357-1524</f>
        <v>323</v>
      </c>
      <c r="J518" s="13">
        <f>1490+357-1524</f>
        <v>323</v>
      </c>
    </row>
    <row r="519" spans="1:10" ht="93.75">
      <c r="A519" s="26"/>
      <c r="B519" s="108" t="s">
        <v>586</v>
      </c>
      <c r="C519" s="16" t="s">
        <v>81</v>
      </c>
      <c r="D519" s="16" t="s">
        <v>108</v>
      </c>
      <c r="E519" s="17" t="s">
        <v>79</v>
      </c>
      <c r="F519" s="11" t="s">
        <v>396</v>
      </c>
      <c r="G519" s="18"/>
      <c r="H519" s="62">
        <f t="shared" si="59"/>
        <v>5946.6</v>
      </c>
      <c r="I519" s="62">
        <f t="shared" si="59"/>
        <v>5811.6</v>
      </c>
      <c r="J519" s="188">
        <f t="shared" si="59"/>
        <v>5811.6</v>
      </c>
    </row>
    <row r="520" spans="1:10" ht="18">
      <c r="A520" s="26"/>
      <c r="B520" s="103" t="s">
        <v>200</v>
      </c>
      <c r="C520" s="8" t="s">
        <v>81</v>
      </c>
      <c r="D520" s="8" t="s">
        <v>108</v>
      </c>
      <c r="E520" s="8" t="s">
        <v>79</v>
      </c>
      <c r="F520" s="8" t="s">
        <v>396</v>
      </c>
      <c r="G520" s="8" t="s">
        <v>194</v>
      </c>
      <c r="H520" s="70">
        <f>3610+663+1524+14.6+135</f>
        <v>5946.6</v>
      </c>
      <c r="I520" s="70">
        <f>3610+663+1524+14.6</f>
        <v>5811.6</v>
      </c>
      <c r="J520" s="13">
        <f>3610+663+1524+14.6</f>
        <v>5811.6</v>
      </c>
    </row>
    <row r="521" spans="1:10" ht="37.5">
      <c r="A521" s="26"/>
      <c r="B521" s="116" t="s">
        <v>29</v>
      </c>
      <c r="C521" s="3" t="s">
        <v>81</v>
      </c>
      <c r="D521" s="3" t="s">
        <v>112</v>
      </c>
      <c r="E521" s="4"/>
      <c r="F521" s="15"/>
      <c r="G521" s="15"/>
      <c r="H521" s="66">
        <f aca="true" t="shared" si="60" ref="H521:J525">H522</f>
        <v>11244.2</v>
      </c>
      <c r="I521" s="66">
        <f t="shared" si="60"/>
        <v>7100</v>
      </c>
      <c r="J521" s="186">
        <f t="shared" si="60"/>
        <v>7100</v>
      </c>
    </row>
    <row r="522" spans="1:10" ht="18.75">
      <c r="A522" s="26"/>
      <c r="B522" s="96" t="s">
        <v>51</v>
      </c>
      <c r="C522" s="22" t="s">
        <v>81</v>
      </c>
      <c r="D522" s="22" t="s">
        <v>112</v>
      </c>
      <c r="E522" s="23" t="s">
        <v>53</v>
      </c>
      <c r="F522" s="28"/>
      <c r="G522" s="28"/>
      <c r="H522" s="66">
        <f t="shared" si="60"/>
        <v>11244.2</v>
      </c>
      <c r="I522" s="66">
        <f t="shared" si="60"/>
        <v>7100</v>
      </c>
      <c r="J522" s="186">
        <f t="shared" si="60"/>
        <v>7100</v>
      </c>
    </row>
    <row r="523" spans="1:10" ht="18.75">
      <c r="A523" s="26"/>
      <c r="B523" s="96" t="s">
        <v>26</v>
      </c>
      <c r="C523" s="41" t="s">
        <v>81</v>
      </c>
      <c r="D523" s="41" t="s">
        <v>112</v>
      </c>
      <c r="E523" s="41" t="s">
        <v>53</v>
      </c>
      <c r="F523" s="48" t="s">
        <v>88</v>
      </c>
      <c r="G523" s="41"/>
      <c r="H523" s="83">
        <f t="shared" si="60"/>
        <v>11244.2</v>
      </c>
      <c r="I523" s="83">
        <f t="shared" si="60"/>
        <v>7100</v>
      </c>
      <c r="J523" s="264">
        <f t="shared" si="60"/>
        <v>7100</v>
      </c>
    </row>
    <row r="524" spans="1:10" ht="18.75">
      <c r="A524" s="26"/>
      <c r="B524" s="116" t="s">
        <v>35</v>
      </c>
      <c r="C524" s="41" t="s">
        <v>81</v>
      </c>
      <c r="D524" s="41" t="s">
        <v>112</v>
      </c>
      <c r="E524" s="41" t="s">
        <v>53</v>
      </c>
      <c r="F524" s="41" t="s">
        <v>89</v>
      </c>
      <c r="G524" s="41"/>
      <c r="H524" s="83">
        <f t="shared" si="60"/>
        <v>11244.2</v>
      </c>
      <c r="I524" s="83">
        <f t="shared" si="60"/>
        <v>7100</v>
      </c>
      <c r="J524" s="264">
        <f t="shared" si="60"/>
        <v>7100</v>
      </c>
    </row>
    <row r="525" spans="1:10" ht="18.75">
      <c r="A525" s="26"/>
      <c r="B525" s="116" t="s">
        <v>35</v>
      </c>
      <c r="C525" s="41" t="s">
        <v>81</v>
      </c>
      <c r="D525" s="41" t="s">
        <v>112</v>
      </c>
      <c r="E525" s="41" t="s">
        <v>53</v>
      </c>
      <c r="F525" s="41" t="s">
        <v>90</v>
      </c>
      <c r="G525" s="41"/>
      <c r="H525" s="83">
        <f t="shared" si="60"/>
        <v>11244.2</v>
      </c>
      <c r="I525" s="83">
        <f t="shared" si="60"/>
        <v>7100</v>
      </c>
      <c r="J525" s="264">
        <f t="shared" si="60"/>
        <v>7100</v>
      </c>
    </row>
    <row r="526" spans="1:10" ht="93.75">
      <c r="A526" s="26"/>
      <c r="B526" s="98" t="s">
        <v>688</v>
      </c>
      <c r="C526" s="178" t="s">
        <v>81</v>
      </c>
      <c r="D526" s="178" t="s">
        <v>112</v>
      </c>
      <c r="E526" s="178" t="s">
        <v>53</v>
      </c>
      <c r="F526" s="183" t="s">
        <v>604</v>
      </c>
      <c r="G526" s="2"/>
      <c r="H526" s="179">
        <f>H527</f>
        <v>11244.2</v>
      </c>
      <c r="I526" s="179">
        <f>I527</f>
        <v>7100</v>
      </c>
      <c r="J526" s="262">
        <f>J527</f>
        <v>7100</v>
      </c>
    </row>
    <row r="527" spans="1:10" ht="18.75" thickBot="1">
      <c r="A527" s="26"/>
      <c r="B527" s="175" t="s">
        <v>197</v>
      </c>
      <c r="C527" s="176" t="s">
        <v>81</v>
      </c>
      <c r="D527" s="176" t="s">
        <v>112</v>
      </c>
      <c r="E527" s="176" t="s">
        <v>53</v>
      </c>
      <c r="F527" s="176" t="s">
        <v>604</v>
      </c>
      <c r="G527" s="176" t="s">
        <v>195</v>
      </c>
      <c r="H527" s="174">
        <f>7100-275.8-1603+3092.2-6669.2+9600</f>
        <v>11244.2</v>
      </c>
      <c r="I527" s="174">
        <v>7100</v>
      </c>
      <c r="J527" s="229">
        <v>7100</v>
      </c>
    </row>
    <row r="528" spans="1:10" ht="38.25" thickBot="1">
      <c r="A528" s="159" t="s">
        <v>53</v>
      </c>
      <c r="B528" s="160" t="s">
        <v>34</v>
      </c>
      <c r="C528" s="161" t="s">
        <v>82</v>
      </c>
      <c r="D528" s="161"/>
      <c r="E528" s="162" t="s">
        <v>37</v>
      </c>
      <c r="F528" s="162" t="s">
        <v>37</v>
      </c>
      <c r="G528" s="162" t="s">
        <v>37</v>
      </c>
      <c r="H528" s="163">
        <f>H529+H626+H633+H602+H581+H609+H561+H568</f>
        <v>345739.30000000005</v>
      </c>
      <c r="I528" s="163">
        <f>I529+I626+I633+I602+I581+I594+I609+I561+I568</f>
        <v>365905.3</v>
      </c>
      <c r="J528" s="163">
        <f>J529+J626+J633+J602+J581+J594+J609+J561+J568</f>
        <v>361682.2</v>
      </c>
    </row>
    <row r="529" spans="1:10" ht="18.75">
      <c r="A529" s="109"/>
      <c r="B529" s="113" t="s">
        <v>22</v>
      </c>
      <c r="C529" s="43" t="s">
        <v>82</v>
      </c>
      <c r="D529" s="43" t="s">
        <v>54</v>
      </c>
      <c r="E529" s="27"/>
      <c r="F529" s="44"/>
      <c r="G529" s="44"/>
      <c r="H529" s="80">
        <f>H530+H547+H553</f>
        <v>76928</v>
      </c>
      <c r="I529" s="80">
        <f>I530+I547</f>
        <v>94915.7</v>
      </c>
      <c r="J529" s="268">
        <f>J530+J547</f>
        <v>119691.2</v>
      </c>
    </row>
    <row r="530" spans="1:11" ht="37.5">
      <c r="A530" s="26"/>
      <c r="B530" s="145" t="s">
        <v>3</v>
      </c>
      <c r="C530" s="22" t="s">
        <v>82</v>
      </c>
      <c r="D530" s="22" t="s">
        <v>54</v>
      </c>
      <c r="E530" s="23" t="s">
        <v>57</v>
      </c>
      <c r="F530" s="28"/>
      <c r="G530" s="28"/>
      <c r="H530" s="66">
        <f>H531</f>
        <v>28895.5</v>
      </c>
      <c r="I530" s="66">
        <f>I531</f>
        <v>28895.399999999998</v>
      </c>
      <c r="J530" s="186">
        <f>J531</f>
        <v>28895.5</v>
      </c>
      <c r="K530" s="204"/>
    </row>
    <row r="531" spans="1:10" ht="18.75">
      <c r="A531" s="26"/>
      <c r="B531" s="96" t="s">
        <v>73</v>
      </c>
      <c r="C531" s="22" t="s">
        <v>82</v>
      </c>
      <c r="D531" s="22" t="s">
        <v>54</v>
      </c>
      <c r="E531" s="23" t="s">
        <v>57</v>
      </c>
      <c r="F531" s="23" t="s">
        <v>95</v>
      </c>
      <c r="G531" s="28"/>
      <c r="H531" s="66">
        <f>H532+H542+H537</f>
        <v>28895.5</v>
      </c>
      <c r="I531" s="66">
        <f>I532+I542+I537</f>
        <v>28895.399999999998</v>
      </c>
      <c r="J531" s="186">
        <f>J532+J542+J537</f>
        <v>28895.5</v>
      </c>
    </row>
    <row r="532" spans="1:10" ht="37.5">
      <c r="A532" s="26"/>
      <c r="B532" s="96" t="s">
        <v>31</v>
      </c>
      <c r="C532" s="22" t="s">
        <v>82</v>
      </c>
      <c r="D532" s="22" t="s">
        <v>54</v>
      </c>
      <c r="E532" s="23" t="s">
        <v>57</v>
      </c>
      <c r="F532" s="23" t="s">
        <v>97</v>
      </c>
      <c r="G532" s="28"/>
      <c r="H532" s="66">
        <f aca="true" t="shared" si="61" ref="H532:J533">H533</f>
        <v>24329</v>
      </c>
      <c r="I532" s="66">
        <f t="shared" si="61"/>
        <v>28751.3</v>
      </c>
      <c r="J532" s="186">
        <f t="shared" si="61"/>
        <v>28751.3</v>
      </c>
    </row>
    <row r="533" spans="1:10" ht="18.75">
      <c r="A533" s="26"/>
      <c r="B533" s="96" t="s">
        <v>35</v>
      </c>
      <c r="C533" s="22" t="s">
        <v>82</v>
      </c>
      <c r="D533" s="22" t="s">
        <v>54</v>
      </c>
      <c r="E533" s="23" t="s">
        <v>57</v>
      </c>
      <c r="F533" s="23" t="s">
        <v>96</v>
      </c>
      <c r="G533" s="28"/>
      <c r="H533" s="66">
        <f t="shared" si="61"/>
        <v>24329</v>
      </c>
      <c r="I533" s="66">
        <f t="shared" si="61"/>
        <v>28751.3</v>
      </c>
      <c r="J533" s="186">
        <f t="shared" si="61"/>
        <v>28751.3</v>
      </c>
    </row>
    <row r="534" spans="1:10" ht="18.75">
      <c r="A534" s="26"/>
      <c r="B534" s="95" t="s">
        <v>277</v>
      </c>
      <c r="C534" s="11" t="s">
        <v>82</v>
      </c>
      <c r="D534" s="11" t="s">
        <v>54</v>
      </c>
      <c r="E534" s="1" t="s">
        <v>57</v>
      </c>
      <c r="F534" s="1" t="s">
        <v>276</v>
      </c>
      <c r="G534" s="12"/>
      <c r="H534" s="62">
        <f>H535+H536</f>
        <v>24329</v>
      </c>
      <c r="I534" s="62">
        <f>I535+I536</f>
        <v>28751.3</v>
      </c>
      <c r="J534" s="188">
        <f>J535+J536</f>
        <v>28751.3</v>
      </c>
    </row>
    <row r="535" spans="1:10" ht="54">
      <c r="A535" s="26"/>
      <c r="B535" s="169" t="s">
        <v>201</v>
      </c>
      <c r="C535" s="12" t="s">
        <v>82</v>
      </c>
      <c r="D535" s="12" t="s">
        <v>54</v>
      </c>
      <c r="E535" s="12" t="s">
        <v>57</v>
      </c>
      <c r="F535" s="12" t="s">
        <v>276</v>
      </c>
      <c r="G535" s="12" t="s">
        <v>191</v>
      </c>
      <c r="H535" s="167">
        <v>22578</v>
      </c>
      <c r="I535" s="167">
        <v>26888.2</v>
      </c>
      <c r="J535" s="271">
        <v>26888.2</v>
      </c>
    </row>
    <row r="536" spans="1:10" ht="36">
      <c r="A536" s="26"/>
      <c r="B536" s="107" t="s">
        <v>199</v>
      </c>
      <c r="C536" s="9" t="s">
        <v>82</v>
      </c>
      <c r="D536" s="9" t="s">
        <v>54</v>
      </c>
      <c r="E536" s="9" t="s">
        <v>57</v>
      </c>
      <c r="F536" s="9" t="s">
        <v>276</v>
      </c>
      <c r="G536" s="9" t="s">
        <v>192</v>
      </c>
      <c r="H536" s="70">
        <f>1449.7+431.7-11.5-6.8-112.1</f>
        <v>1751.0000000000002</v>
      </c>
      <c r="I536" s="70">
        <f>1449.7+431.7-11.5-6.8</f>
        <v>1863.1000000000001</v>
      </c>
      <c r="J536" s="13">
        <f>1449.7+431.7-11.5-6.8</f>
        <v>1863.1000000000001</v>
      </c>
    </row>
    <row r="537" spans="1:10" ht="56.25">
      <c r="A537" s="26"/>
      <c r="B537" s="195" t="s">
        <v>700</v>
      </c>
      <c r="C537" s="22" t="s">
        <v>82</v>
      </c>
      <c r="D537" s="22" t="s">
        <v>54</v>
      </c>
      <c r="E537" s="23" t="s">
        <v>57</v>
      </c>
      <c r="F537" s="23" t="s">
        <v>698</v>
      </c>
      <c r="G537" s="28"/>
      <c r="H537" s="66">
        <f aca="true" t="shared" si="62" ref="H537:J538">H538</f>
        <v>4422.3</v>
      </c>
      <c r="I537" s="66">
        <f t="shared" si="62"/>
        <v>0</v>
      </c>
      <c r="J537" s="186">
        <f t="shared" si="62"/>
        <v>0</v>
      </c>
    </row>
    <row r="538" spans="1:10" ht="18.75">
      <c r="A538" s="26"/>
      <c r="B538" s="195" t="s">
        <v>35</v>
      </c>
      <c r="C538" s="22" t="s">
        <v>82</v>
      </c>
      <c r="D538" s="22" t="s">
        <v>54</v>
      </c>
      <c r="E538" s="23" t="s">
        <v>57</v>
      </c>
      <c r="F538" s="23" t="s">
        <v>699</v>
      </c>
      <c r="G538" s="28"/>
      <c r="H538" s="66">
        <f t="shared" si="62"/>
        <v>4422.3</v>
      </c>
      <c r="I538" s="66">
        <f t="shared" si="62"/>
        <v>0</v>
      </c>
      <c r="J538" s="186">
        <f t="shared" si="62"/>
        <v>0</v>
      </c>
    </row>
    <row r="539" spans="1:10" ht="37.5">
      <c r="A539" s="26"/>
      <c r="B539" s="195" t="s">
        <v>726</v>
      </c>
      <c r="C539" s="22" t="s">
        <v>82</v>
      </c>
      <c r="D539" s="22" t="s">
        <v>54</v>
      </c>
      <c r="E539" s="23" t="s">
        <v>57</v>
      </c>
      <c r="F539" s="23" t="s">
        <v>727</v>
      </c>
      <c r="G539" s="28"/>
      <c r="H539" s="66">
        <f>H540+H541</f>
        <v>4422.3</v>
      </c>
      <c r="I539" s="66">
        <f>I540+I541</f>
        <v>0</v>
      </c>
      <c r="J539" s="186">
        <f>J540+J541</f>
        <v>0</v>
      </c>
    </row>
    <row r="540" spans="1:10" ht="54">
      <c r="A540" s="26"/>
      <c r="B540" s="112" t="s">
        <v>201</v>
      </c>
      <c r="C540" s="21" t="s">
        <v>82</v>
      </c>
      <c r="D540" s="21" t="s">
        <v>54</v>
      </c>
      <c r="E540" s="21" t="s">
        <v>57</v>
      </c>
      <c r="F540" s="21" t="s">
        <v>727</v>
      </c>
      <c r="G540" s="21" t="s">
        <v>191</v>
      </c>
      <c r="H540" s="68">
        <v>4310.2</v>
      </c>
      <c r="I540" s="68">
        <v>0</v>
      </c>
      <c r="J540" s="99">
        <v>0</v>
      </c>
    </row>
    <row r="541" spans="1:10" ht="36">
      <c r="A541" s="26"/>
      <c r="B541" s="220" t="s">
        <v>199</v>
      </c>
      <c r="C541" s="10" t="s">
        <v>82</v>
      </c>
      <c r="D541" s="10" t="s">
        <v>54</v>
      </c>
      <c r="E541" s="10" t="s">
        <v>57</v>
      </c>
      <c r="F541" s="10" t="s">
        <v>727</v>
      </c>
      <c r="G541" s="7" t="s">
        <v>192</v>
      </c>
      <c r="H541" s="120">
        <v>112.1</v>
      </c>
      <c r="I541" s="120">
        <v>0</v>
      </c>
      <c r="J541" s="266">
        <v>0</v>
      </c>
    </row>
    <row r="542" spans="1:10" ht="37.5">
      <c r="A542" s="26"/>
      <c r="B542" s="95" t="s">
        <v>14</v>
      </c>
      <c r="C542" s="11" t="s">
        <v>82</v>
      </c>
      <c r="D542" s="11" t="s">
        <v>54</v>
      </c>
      <c r="E542" s="1" t="s">
        <v>57</v>
      </c>
      <c r="F542" s="1" t="s">
        <v>85</v>
      </c>
      <c r="G542" s="12"/>
      <c r="H542" s="62">
        <f aca="true" t="shared" si="63" ref="H542:J543">H543</f>
        <v>144.2</v>
      </c>
      <c r="I542" s="62">
        <f t="shared" si="63"/>
        <v>144.10000000000002</v>
      </c>
      <c r="J542" s="188">
        <f t="shared" si="63"/>
        <v>144.2</v>
      </c>
    </row>
    <row r="543" spans="1:10" ht="18.75">
      <c r="A543" s="26"/>
      <c r="B543" s="95" t="s">
        <v>35</v>
      </c>
      <c r="C543" s="11" t="s">
        <v>82</v>
      </c>
      <c r="D543" s="11" t="s">
        <v>54</v>
      </c>
      <c r="E543" s="1" t="s">
        <v>57</v>
      </c>
      <c r="F543" s="1" t="s">
        <v>84</v>
      </c>
      <c r="G543" s="12"/>
      <c r="H543" s="62">
        <f t="shared" si="63"/>
        <v>144.2</v>
      </c>
      <c r="I543" s="62">
        <f t="shared" si="63"/>
        <v>144.10000000000002</v>
      </c>
      <c r="J543" s="188">
        <f t="shared" si="63"/>
        <v>144.2</v>
      </c>
    </row>
    <row r="544" spans="1:10" ht="37.5">
      <c r="A544" s="26"/>
      <c r="B544" s="95" t="s">
        <v>398</v>
      </c>
      <c r="C544" s="11" t="s">
        <v>82</v>
      </c>
      <c r="D544" s="11" t="s">
        <v>54</v>
      </c>
      <c r="E544" s="1" t="s">
        <v>57</v>
      </c>
      <c r="F544" s="1" t="s">
        <v>86</v>
      </c>
      <c r="G544" s="12"/>
      <c r="H544" s="62">
        <f>SUM(H545:H546)</f>
        <v>144.2</v>
      </c>
      <c r="I544" s="62">
        <f>SUM(I545:I546)</f>
        <v>144.10000000000002</v>
      </c>
      <c r="J544" s="188">
        <f>SUM(J545:J546)</f>
        <v>144.2</v>
      </c>
    </row>
    <row r="545" spans="1:10" ht="54">
      <c r="A545" s="26"/>
      <c r="B545" s="92" t="s">
        <v>201</v>
      </c>
      <c r="C545" s="21" t="s">
        <v>82</v>
      </c>
      <c r="D545" s="21" t="s">
        <v>54</v>
      </c>
      <c r="E545" s="21" t="s">
        <v>57</v>
      </c>
      <c r="F545" s="21" t="s">
        <v>86</v>
      </c>
      <c r="G545" s="21" t="s">
        <v>191</v>
      </c>
      <c r="H545" s="68">
        <v>120.2</v>
      </c>
      <c r="I545" s="68">
        <f>120.2-0.1</f>
        <v>120.10000000000001</v>
      </c>
      <c r="J545" s="99">
        <v>120.2</v>
      </c>
    </row>
    <row r="546" spans="1:10" ht="36">
      <c r="A546" s="26"/>
      <c r="B546" s="93" t="s">
        <v>199</v>
      </c>
      <c r="C546" s="9" t="s">
        <v>82</v>
      </c>
      <c r="D546" s="9" t="s">
        <v>54</v>
      </c>
      <c r="E546" s="9" t="s">
        <v>57</v>
      </c>
      <c r="F546" s="9" t="s">
        <v>86</v>
      </c>
      <c r="G546" s="9" t="s">
        <v>192</v>
      </c>
      <c r="H546" s="70">
        <v>24</v>
      </c>
      <c r="I546" s="70">
        <f>24</f>
        <v>24</v>
      </c>
      <c r="J546" s="13">
        <v>24</v>
      </c>
    </row>
    <row r="547" spans="1:10" ht="18.75">
      <c r="A547" s="26"/>
      <c r="B547" s="96" t="s">
        <v>47</v>
      </c>
      <c r="C547" s="22" t="s">
        <v>82</v>
      </c>
      <c r="D547" s="22" t="s">
        <v>54</v>
      </c>
      <c r="E547" s="23" t="s">
        <v>111</v>
      </c>
      <c r="F547" s="23" t="s">
        <v>37</v>
      </c>
      <c r="G547" s="23" t="s">
        <v>37</v>
      </c>
      <c r="H547" s="66">
        <f aca="true" t="shared" si="64" ref="H547:J550">H548</f>
        <v>44829.1</v>
      </c>
      <c r="I547" s="66">
        <f t="shared" si="64"/>
        <v>66020.3</v>
      </c>
      <c r="J547" s="186">
        <f t="shared" si="64"/>
        <v>90795.7</v>
      </c>
    </row>
    <row r="548" spans="1:10" ht="18.75">
      <c r="A548" s="26"/>
      <c r="B548" s="98" t="s">
        <v>26</v>
      </c>
      <c r="C548" s="41" t="s">
        <v>82</v>
      </c>
      <c r="D548" s="41" t="s">
        <v>54</v>
      </c>
      <c r="E548" s="41" t="s">
        <v>111</v>
      </c>
      <c r="F548" s="41" t="s">
        <v>88</v>
      </c>
      <c r="G548" s="41"/>
      <c r="H548" s="66">
        <f t="shared" si="64"/>
        <v>44829.1</v>
      </c>
      <c r="I548" s="66">
        <f t="shared" si="64"/>
        <v>66020.3</v>
      </c>
      <c r="J548" s="186">
        <f t="shared" si="64"/>
        <v>90795.7</v>
      </c>
    </row>
    <row r="549" spans="1:10" ht="18.75">
      <c r="A549" s="26"/>
      <c r="B549" s="96" t="s">
        <v>35</v>
      </c>
      <c r="C549" s="41" t="s">
        <v>82</v>
      </c>
      <c r="D549" s="41" t="s">
        <v>54</v>
      </c>
      <c r="E549" s="41" t="s">
        <v>111</v>
      </c>
      <c r="F549" s="41" t="s">
        <v>89</v>
      </c>
      <c r="G549" s="41" t="s">
        <v>37</v>
      </c>
      <c r="H549" s="66">
        <f t="shared" si="64"/>
        <v>44829.1</v>
      </c>
      <c r="I549" s="66">
        <f t="shared" si="64"/>
        <v>66020.3</v>
      </c>
      <c r="J549" s="186">
        <f t="shared" si="64"/>
        <v>90795.7</v>
      </c>
    </row>
    <row r="550" spans="1:10" ht="18.75">
      <c r="A550" s="26"/>
      <c r="B550" s="96" t="s">
        <v>35</v>
      </c>
      <c r="C550" s="41" t="s">
        <v>82</v>
      </c>
      <c r="D550" s="41" t="s">
        <v>54</v>
      </c>
      <c r="E550" s="41" t="s">
        <v>111</v>
      </c>
      <c r="F550" s="41" t="s">
        <v>90</v>
      </c>
      <c r="G550" s="41" t="s">
        <v>37</v>
      </c>
      <c r="H550" s="66">
        <f t="shared" si="64"/>
        <v>44829.1</v>
      </c>
      <c r="I550" s="66">
        <f t="shared" si="64"/>
        <v>66020.3</v>
      </c>
      <c r="J550" s="186">
        <f t="shared" si="64"/>
        <v>90795.7</v>
      </c>
    </row>
    <row r="551" spans="1:10" ht="18.75">
      <c r="A551" s="26"/>
      <c r="B551" s="95" t="s">
        <v>126</v>
      </c>
      <c r="C551" s="48" t="s">
        <v>82</v>
      </c>
      <c r="D551" s="48" t="s">
        <v>54</v>
      </c>
      <c r="E551" s="48" t="s">
        <v>111</v>
      </c>
      <c r="F551" s="48" t="s">
        <v>94</v>
      </c>
      <c r="G551" s="48"/>
      <c r="H551" s="62">
        <f>SUM(H552:H552)</f>
        <v>44829.1</v>
      </c>
      <c r="I551" s="62">
        <f>SUM(I552:I552)</f>
        <v>66020.3</v>
      </c>
      <c r="J551" s="188">
        <f>SUM(J552:J552)</f>
        <v>90795.7</v>
      </c>
    </row>
    <row r="552" spans="1:10" ht="18">
      <c r="A552" s="26"/>
      <c r="B552" s="93" t="s">
        <v>200</v>
      </c>
      <c r="C552" s="9" t="s">
        <v>82</v>
      </c>
      <c r="D552" s="9" t="s">
        <v>54</v>
      </c>
      <c r="E552" s="9" t="s">
        <v>111</v>
      </c>
      <c r="F552" s="9" t="s">
        <v>94</v>
      </c>
      <c r="G552" s="9" t="s">
        <v>194</v>
      </c>
      <c r="H552" s="70">
        <f>68567.5-8800.8-664.6-12823-300-200+490-390-100-600-350</f>
        <v>44829.1</v>
      </c>
      <c r="I552" s="70">
        <f>76183.2-17.5+2051.8-23947.2+11750</f>
        <v>66020.3</v>
      </c>
      <c r="J552" s="13">
        <f>120421.2+28815.3-40000-183.5-1061.1-18330.3-0.5-946.9+12-0.1+2012+57.6</f>
        <v>90795.7</v>
      </c>
    </row>
    <row r="553" spans="1:10" ht="18.75">
      <c r="A553" s="26"/>
      <c r="B553" s="153" t="s">
        <v>21</v>
      </c>
      <c r="C553" s="22" t="s">
        <v>82</v>
      </c>
      <c r="D553" s="22" t="s">
        <v>54</v>
      </c>
      <c r="E553" s="23" t="s">
        <v>100</v>
      </c>
      <c r="F553" s="10"/>
      <c r="G553" s="10"/>
      <c r="H553" s="78">
        <f aca="true" t="shared" si="65" ref="H553:J559">H554</f>
        <v>3203.4</v>
      </c>
      <c r="I553" s="78">
        <f t="shared" si="65"/>
        <v>0</v>
      </c>
      <c r="J553" s="221">
        <f t="shared" si="65"/>
        <v>0</v>
      </c>
    </row>
    <row r="554" spans="1:10" ht="56.25">
      <c r="A554" s="26"/>
      <c r="B554" s="153" t="s">
        <v>404</v>
      </c>
      <c r="C554" s="22" t="s">
        <v>82</v>
      </c>
      <c r="D554" s="22" t="s">
        <v>54</v>
      </c>
      <c r="E554" s="122" t="s">
        <v>100</v>
      </c>
      <c r="F554" s="41" t="s">
        <v>399</v>
      </c>
      <c r="G554" s="10"/>
      <c r="H554" s="78">
        <f>H555</f>
        <v>3203.4</v>
      </c>
      <c r="I554" s="78">
        <f t="shared" si="65"/>
        <v>0</v>
      </c>
      <c r="J554" s="221">
        <f t="shared" si="65"/>
        <v>0</v>
      </c>
    </row>
    <row r="555" spans="1:10" ht="18.75">
      <c r="A555" s="26"/>
      <c r="B555" s="96" t="s">
        <v>294</v>
      </c>
      <c r="C555" s="14" t="s">
        <v>82</v>
      </c>
      <c r="D555" s="222" t="s">
        <v>54</v>
      </c>
      <c r="E555" s="14" t="s">
        <v>100</v>
      </c>
      <c r="F555" s="14" t="s">
        <v>400</v>
      </c>
      <c r="G555" s="10"/>
      <c r="H555" s="78">
        <f>H556</f>
        <v>3203.4</v>
      </c>
      <c r="I555" s="78">
        <f t="shared" si="65"/>
        <v>0</v>
      </c>
      <c r="J555" s="221">
        <f t="shared" si="65"/>
        <v>0</v>
      </c>
    </row>
    <row r="556" spans="1:10" ht="56.25">
      <c r="A556" s="26"/>
      <c r="B556" s="153" t="s">
        <v>741</v>
      </c>
      <c r="C556" s="202" t="s">
        <v>82</v>
      </c>
      <c r="D556" s="202" t="s">
        <v>54</v>
      </c>
      <c r="E556" s="202" t="s">
        <v>100</v>
      </c>
      <c r="F556" s="202" t="s">
        <v>409</v>
      </c>
      <c r="G556" s="10"/>
      <c r="H556" s="78">
        <f>H557+H559</f>
        <v>3203.4</v>
      </c>
      <c r="I556" s="78">
        <f>I557+I559</f>
        <v>0</v>
      </c>
      <c r="J556" s="78">
        <f>J557+J559</f>
        <v>0</v>
      </c>
    </row>
    <row r="557" spans="1:10" ht="56.25">
      <c r="A557" s="26"/>
      <c r="B557" s="98" t="s">
        <v>742</v>
      </c>
      <c r="C557" s="42" t="s">
        <v>82</v>
      </c>
      <c r="D557" s="42" t="s">
        <v>54</v>
      </c>
      <c r="E557" s="42" t="s">
        <v>100</v>
      </c>
      <c r="F557" s="42" t="s">
        <v>410</v>
      </c>
      <c r="G557" s="7"/>
      <c r="H557" s="77">
        <f t="shared" si="65"/>
        <v>3080</v>
      </c>
      <c r="I557" s="77">
        <f t="shared" si="65"/>
        <v>0</v>
      </c>
      <c r="J557" s="223">
        <f t="shared" si="65"/>
        <v>0</v>
      </c>
    </row>
    <row r="558" spans="1:10" ht="18">
      <c r="A558" s="26"/>
      <c r="B558" s="93" t="s">
        <v>197</v>
      </c>
      <c r="C558" s="54" t="s">
        <v>82</v>
      </c>
      <c r="D558" s="54" t="s">
        <v>54</v>
      </c>
      <c r="E558" s="54" t="s">
        <v>100</v>
      </c>
      <c r="F558" s="54" t="s">
        <v>410</v>
      </c>
      <c r="G558" s="9" t="s">
        <v>195</v>
      </c>
      <c r="H558" s="70">
        <f>80+3000</f>
        <v>3080</v>
      </c>
      <c r="I558" s="70">
        <v>0</v>
      </c>
      <c r="J558" s="13">
        <v>0</v>
      </c>
    </row>
    <row r="559" spans="1:10" ht="57" customHeight="1">
      <c r="A559" s="26"/>
      <c r="B559" s="127" t="s">
        <v>765</v>
      </c>
      <c r="C559" s="42" t="s">
        <v>82</v>
      </c>
      <c r="D559" s="42" t="s">
        <v>54</v>
      </c>
      <c r="E559" s="42" t="s">
        <v>100</v>
      </c>
      <c r="F559" s="42" t="s">
        <v>411</v>
      </c>
      <c r="G559" s="7"/>
      <c r="H559" s="77">
        <f t="shared" si="65"/>
        <v>123.4</v>
      </c>
      <c r="I559" s="77">
        <f t="shared" si="65"/>
        <v>0</v>
      </c>
      <c r="J559" s="223">
        <f t="shared" si="65"/>
        <v>0</v>
      </c>
    </row>
    <row r="560" spans="1:10" ht="18">
      <c r="A560" s="26"/>
      <c r="B560" s="93" t="s">
        <v>197</v>
      </c>
      <c r="C560" s="54" t="s">
        <v>82</v>
      </c>
      <c r="D560" s="54" t="s">
        <v>54</v>
      </c>
      <c r="E560" s="54" t="s">
        <v>100</v>
      </c>
      <c r="F560" s="54" t="s">
        <v>411</v>
      </c>
      <c r="G560" s="9" t="s">
        <v>195</v>
      </c>
      <c r="H560" s="70">
        <v>123.4</v>
      </c>
      <c r="I560" s="70">
        <v>0</v>
      </c>
      <c r="J560" s="13">
        <v>0</v>
      </c>
    </row>
    <row r="561" spans="1:10" ht="18.75">
      <c r="A561" s="26"/>
      <c r="B561" s="153" t="s">
        <v>17</v>
      </c>
      <c r="C561" s="3" t="s">
        <v>82</v>
      </c>
      <c r="D561" s="3" t="s">
        <v>53</v>
      </c>
      <c r="E561" s="50"/>
      <c r="F561" s="210"/>
      <c r="G561" s="10"/>
      <c r="H561" s="78">
        <f aca="true" t="shared" si="66" ref="H561:J566">H562</f>
        <v>1461</v>
      </c>
      <c r="I561" s="78">
        <f t="shared" si="66"/>
        <v>0</v>
      </c>
      <c r="J561" s="78">
        <f t="shared" si="66"/>
        <v>0</v>
      </c>
    </row>
    <row r="562" spans="1:10" ht="37.5">
      <c r="A562" s="26"/>
      <c r="B562" s="134" t="s">
        <v>258</v>
      </c>
      <c r="C562" s="3" t="s">
        <v>82</v>
      </c>
      <c r="D562" s="3" t="s">
        <v>53</v>
      </c>
      <c r="E562" s="4" t="s">
        <v>28</v>
      </c>
      <c r="F562" s="210"/>
      <c r="G562" s="10"/>
      <c r="H562" s="78">
        <f t="shared" si="66"/>
        <v>1461</v>
      </c>
      <c r="I562" s="78">
        <f t="shared" si="66"/>
        <v>0</v>
      </c>
      <c r="J562" s="78">
        <f t="shared" si="66"/>
        <v>0</v>
      </c>
    </row>
    <row r="563" spans="1:10" ht="56.25">
      <c r="A563" s="26"/>
      <c r="B563" s="153" t="s">
        <v>404</v>
      </c>
      <c r="C563" s="22" t="s">
        <v>82</v>
      </c>
      <c r="D563" s="22" t="s">
        <v>53</v>
      </c>
      <c r="E563" s="122" t="s">
        <v>28</v>
      </c>
      <c r="F563" s="41" t="s">
        <v>399</v>
      </c>
      <c r="G563" s="10"/>
      <c r="H563" s="78">
        <f t="shared" si="66"/>
        <v>1461</v>
      </c>
      <c r="I563" s="78">
        <f t="shared" si="66"/>
        <v>0</v>
      </c>
      <c r="J563" s="78">
        <f t="shared" si="66"/>
        <v>0</v>
      </c>
    </row>
    <row r="564" spans="1:10" ht="18.75">
      <c r="A564" s="26"/>
      <c r="B564" s="96" t="s">
        <v>294</v>
      </c>
      <c r="C564" s="14" t="s">
        <v>82</v>
      </c>
      <c r="D564" s="222" t="s">
        <v>53</v>
      </c>
      <c r="E564" s="14" t="s">
        <v>28</v>
      </c>
      <c r="F564" s="14" t="s">
        <v>400</v>
      </c>
      <c r="G564" s="10"/>
      <c r="H564" s="78">
        <f t="shared" si="66"/>
        <v>1461</v>
      </c>
      <c r="I564" s="78">
        <f t="shared" si="66"/>
        <v>0</v>
      </c>
      <c r="J564" s="78">
        <f t="shared" si="66"/>
        <v>0</v>
      </c>
    </row>
    <row r="565" spans="1:10" ht="56.25">
      <c r="A565" s="26"/>
      <c r="B565" s="153" t="s">
        <v>741</v>
      </c>
      <c r="C565" s="202" t="s">
        <v>82</v>
      </c>
      <c r="D565" s="202" t="s">
        <v>53</v>
      </c>
      <c r="E565" s="202" t="s">
        <v>28</v>
      </c>
      <c r="F565" s="202" t="s">
        <v>409</v>
      </c>
      <c r="G565" s="10"/>
      <c r="H565" s="78">
        <f t="shared" si="66"/>
        <v>1461</v>
      </c>
      <c r="I565" s="78">
        <f t="shared" si="66"/>
        <v>0</v>
      </c>
      <c r="J565" s="78">
        <f t="shared" si="66"/>
        <v>0</v>
      </c>
    </row>
    <row r="566" spans="1:10" ht="75">
      <c r="A566" s="26"/>
      <c r="B566" s="127" t="s">
        <v>765</v>
      </c>
      <c r="C566" s="42" t="s">
        <v>82</v>
      </c>
      <c r="D566" s="42" t="s">
        <v>53</v>
      </c>
      <c r="E566" s="42" t="s">
        <v>28</v>
      </c>
      <c r="F566" s="42" t="s">
        <v>411</v>
      </c>
      <c r="G566" s="7"/>
      <c r="H566" s="77">
        <f t="shared" si="66"/>
        <v>1461</v>
      </c>
      <c r="I566" s="77">
        <f t="shared" si="66"/>
        <v>0</v>
      </c>
      <c r="J566" s="77">
        <f t="shared" si="66"/>
        <v>0</v>
      </c>
    </row>
    <row r="567" spans="1:10" ht="18">
      <c r="A567" s="26"/>
      <c r="B567" s="93" t="s">
        <v>197</v>
      </c>
      <c r="C567" s="54" t="s">
        <v>82</v>
      </c>
      <c r="D567" s="54" t="s">
        <v>53</v>
      </c>
      <c r="E567" s="54" t="s">
        <v>28</v>
      </c>
      <c r="F567" s="54" t="s">
        <v>411</v>
      </c>
      <c r="G567" s="9" t="s">
        <v>195</v>
      </c>
      <c r="H567" s="70">
        <v>1461</v>
      </c>
      <c r="I567" s="70">
        <v>0</v>
      </c>
      <c r="J567" s="13">
        <v>0</v>
      </c>
    </row>
    <row r="568" spans="1:10" ht="18.75">
      <c r="A568" s="26"/>
      <c r="B568" s="153" t="s">
        <v>16</v>
      </c>
      <c r="C568" s="3" t="s">
        <v>82</v>
      </c>
      <c r="D568" s="3" t="s">
        <v>55</v>
      </c>
      <c r="E568" s="50"/>
      <c r="F568" s="210"/>
      <c r="G568" s="10"/>
      <c r="H568" s="78">
        <f>H569+H575</f>
        <v>18784.4</v>
      </c>
      <c r="I568" s="78">
        <f>I569+I575</f>
        <v>0</v>
      </c>
      <c r="J568" s="78">
        <f>J569+J575</f>
        <v>0</v>
      </c>
    </row>
    <row r="569" spans="1:10" ht="18.75">
      <c r="A569" s="26"/>
      <c r="B569" s="134" t="s">
        <v>0</v>
      </c>
      <c r="C569" s="3" t="s">
        <v>82</v>
      </c>
      <c r="D569" s="3" t="s">
        <v>55</v>
      </c>
      <c r="E569" s="4" t="s">
        <v>27</v>
      </c>
      <c r="F569" s="210"/>
      <c r="G569" s="10"/>
      <c r="H569" s="78">
        <f aca="true" t="shared" si="67" ref="H569:J573">H570</f>
        <v>18520.4</v>
      </c>
      <c r="I569" s="78">
        <f t="shared" si="67"/>
        <v>0</v>
      </c>
      <c r="J569" s="78">
        <f t="shared" si="67"/>
        <v>0</v>
      </c>
    </row>
    <row r="570" spans="1:10" ht="56.25">
      <c r="A570" s="26"/>
      <c r="B570" s="153" t="s">
        <v>404</v>
      </c>
      <c r="C570" s="22" t="s">
        <v>82</v>
      </c>
      <c r="D570" s="22" t="s">
        <v>55</v>
      </c>
      <c r="E570" s="122" t="s">
        <v>27</v>
      </c>
      <c r="F570" s="41" t="s">
        <v>399</v>
      </c>
      <c r="G570" s="10"/>
      <c r="H570" s="78">
        <f t="shared" si="67"/>
        <v>18520.4</v>
      </c>
      <c r="I570" s="78">
        <f t="shared" si="67"/>
        <v>0</v>
      </c>
      <c r="J570" s="78">
        <f t="shared" si="67"/>
        <v>0</v>
      </c>
    </row>
    <row r="571" spans="1:10" ht="18.75">
      <c r="A571" s="26"/>
      <c r="B571" s="96" t="s">
        <v>294</v>
      </c>
      <c r="C571" s="14" t="s">
        <v>82</v>
      </c>
      <c r="D571" s="222" t="s">
        <v>55</v>
      </c>
      <c r="E571" s="14" t="s">
        <v>27</v>
      </c>
      <c r="F571" s="14" t="s">
        <v>400</v>
      </c>
      <c r="G571" s="10"/>
      <c r="H571" s="78">
        <f t="shared" si="67"/>
        <v>18520.4</v>
      </c>
      <c r="I571" s="78">
        <f t="shared" si="67"/>
        <v>0</v>
      </c>
      <c r="J571" s="78">
        <f t="shared" si="67"/>
        <v>0</v>
      </c>
    </row>
    <row r="572" spans="1:10" ht="56.25">
      <c r="A572" s="26"/>
      <c r="B572" s="153" t="s">
        <v>741</v>
      </c>
      <c r="C572" s="202" t="s">
        <v>82</v>
      </c>
      <c r="D572" s="202" t="s">
        <v>55</v>
      </c>
      <c r="E572" s="202" t="s">
        <v>27</v>
      </c>
      <c r="F572" s="202" t="s">
        <v>409</v>
      </c>
      <c r="G572" s="10"/>
      <c r="H572" s="78">
        <f t="shared" si="67"/>
        <v>18520.4</v>
      </c>
      <c r="I572" s="78">
        <f t="shared" si="67"/>
        <v>0</v>
      </c>
      <c r="J572" s="78">
        <f t="shared" si="67"/>
        <v>0</v>
      </c>
    </row>
    <row r="573" spans="1:10" ht="75">
      <c r="A573" s="26"/>
      <c r="B573" s="127" t="s">
        <v>765</v>
      </c>
      <c r="C573" s="42" t="s">
        <v>82</v>
      </c>
      <c r="D573" s="42" t="s">
        <v>55</v>
      </c>
      <c r="E573" s="42" t="s">
        <v>27</v>
      </c>
      <c r="F573" s="42" t="s">
        <v>411</v>
      </c>
      <c r="G573" s="7"/>
      <c r="H573" s="77">
        <f t="shared" si="67"/>
        <v>18520.4</v>
      </c>
      <c r="I573" s="77">
        <f t="shared" si="67"/>
        <v>0</v>
      </c>
      <c r="J573" s="77">
        <f t="shared" si="67"/>
        <v>0</v>
      </c>
    </row>
    <row r="574" spans="1:10" ht="18">
      <c r="A574" s="26"/>
      <c r="B574" s="93" t="s">
        <v>197</v>
      </c>
      <c r="C574" s="54" t="s">
        <v>82</v>
      </c>
      <c r="D574" s="54" t="s">
        <v>55</v>
      </c>
      <c r="E574" s="54" t="s">
        <v>27</v>
      </c>
      <c r="F574" s="54" t="s">
        <v>411</v>
      </c>
      <c r="G574" s="9" t="s">
        <v>195</v>
      </c>
      <c r="H574" s="70">
        <v>18520.4</v>
      </c>
      <c r="I574" s="70">
        <v>0</v>
      </c>
      <c r="J574" s="13">
        <v>0</v>
      </c>
    </row>
    <row r="575" spans="1:10" ht="18.75">
      <c r="A575" s="26"/>
      <c r="B575" s="134" t="s">
        <v>19</v>
      </c>
      <c r="C575" s="3" t="s">
        <v>82</v>
      </c>
      <c r="D575" s="3" t="s">
        <v>55</v>
      </c>
      <c r="E575" s="4" t="s">
        <v>108</v>
      </c>
      <c r="F575" s="210"/>
      <c r="G575" s="10"/>
      <c r="H575" s="78">
        <f aca="true" t="shared" si="68" ref="H575:I579">H576</f>
        <v>264</v>
      </c>
      <c r="I575" s="78">
        <f t="shared" si="68"/>
        <v>0</v>
      </c>
      <c r="J575" s="78">
        <f>J576</f>
        <v>0</v>
      </c>
    </row>
    <row r="576" spans="1:10" ht="56.25">
      <c r="A576" s="26"/>
      <c r="B576" s="153" t="s">
        <v>404</v>
      </c>
      <c r="C576" s="22" t="s">
        <v>82</v>
      </c>
      <c r="D576" s="22" t="s">
        <v>55</v>
      </c>
      <c r="E576" s="122" t="s">
        <v>108</v>
      </c>
      <c r="F576" s="41" t="s">
        <v>399</v>
      </c>
      <c r="G576" s="10"/>
      <c r="H576" s="78">
        <f t="shared" si="68"/>
        <v>264</v>
      </c>
      <c r="I576" s="78">
        <f t="shared" si="68"/>
        <v>0</v>
      </c>
      <c r="J576" s="78">
        <f>J577</f>
        <v>0</v>
      </c>
    </row>
    <row r="577" spans="1:10" ht="18.75">
      <c r="A577" s="26"/>
      <c r="B577" s="96" t="s">
        <v>294</v>
      </c>
      <c r="C577" s="14" t="s">
        <v>82</v>
      </c>
      <c r="D577" s="222" t="s">
        <v>55</v>
      </c>
      <c r="E577" s="14" t="s">
        <v>108</v>
      </c>
      <c r="F577" s="14" t="s">
        <v>400</v>
      </c>
      <c r="G577" s="10"/>
      <c r="H577" s="78">
        <f t="shared" si="68"/>
        <v>264</v>
      </c>
      <c r="I577" s="78">
        <f t="shared" si="68"/>
        <v>0</v>
      </c>
      <c r="J577" s="78">
        <f>J578</f>
        <v>0</v>
      </c>
    </row>
    <row r="578" spans="1:10" ht="56.25">
      <c r="A578" s="26"/>
      <c r="B578" s="153" t="s">
        <v>741</v>
      </c>
      <c r="C578" s="202" t="s">
        <v>82</v>
      </c>
      <c r="D578" s="202" t="s">
        <v>55</v>
      </c>
      <c r="E578" s="202" t="s">
        <v>108</v>
      </c>
      <c r="F578" s="202" t="s">
        <v>409</v>
      </c>
      <c r="G578" s="10"/>
      <c r="H578" s="78">
        <f t="shared" si="68"/>
        <v>264</v>
      </c>
      <c r="I578" s="78">
        <f t="shared" si="68"/>
        <v>0</v>
      </c>
      <c r="J578" s="78">
        <f>J579</f>
        <v>0</v>
      </c>
    </row>
    <row r="579" spans="1:10" ht="75">
      <c r="A579" s="26"/>
      <c r="B579" s="127" t="s">
        <v>765</v>
      </c>
      <c r="C579" s="42" t="s">
        <v>82</v>
      </c>
      <c r="D579" s="42" t="s">
        <v>55</v>
      </c>
      <c r="E579" s="42" t="s">
        <v>108</v>
      </c>
      <c r="F579" s="42" t="s">
        <v>411</v>
      </c>
      <c r="G579" s="7"/>
      <c r="H579" s="77">
        <f t="shared" si="68"/>
        <v>264</v>
      </c>
      <c r="I579" s="77">
        <f t="shared" si="68"/>
        <v>0</v>
      </c>
      <c r="J579" s="77">
        <f>J580</f>
        <v>0</v>
      </c>
    </row>
    <row r="580" spans="1:10" ht="18">
      <c r="A580" s="26"/>
      <c r="B580" s="93" t="s">
        <v>197</v>
      </c>
      <c r="C580" s="54" t="s">
        <v>82</v>
      </c>
      <c r="D580" s="54" t="s">
        <v>55</v>
      </c>
      <c r="E580" s="54" t="s">
        <v>108</v>
      </c>
      <c r="F580" s="54" t="s">
        <v>411</v>
      </c>
      <c r="G580" s="9" t="s">
        <v>195</v>
      </c>
      <c r="H580" s="70">
        <v>264</v>
      </c>
      <c r="I580" s="70">
        <v>0</v>
      </c>
      <c r="J580" s="13">
        <v>0</v>
      </c>
    </row>
    <row r="581" spans="1:10" ht="18.75">
      <c r="A581" s="26"/>
      <c r="B581" s="153" t="s">
        <v>42</v>
      </c>
      <c r="C581" s="22" t="s">
        <v>82</v>
      </c>
      <c r="D581" s="22" t="s">
        <v>56</v>
      </c>
      <c r="E581" s="23"/>
      <c r="F581" s="210"/>
      <c r="G581" s="10"/>
      <c r="H581" s="78">
        <f>H582+H588+H594</f>
        <v>14046.8</v>
      </c>
      <c r="I581" s="78">
        <f>I582+I588+I594</f>
        <v>0</v>
      </c>
      <c r="J581" s="78">
        <f>J582+J588+J594</f>
        <v>0</v>
      </c>
    </row>
    <row r="582" spans="1:10" ht="18.75">
      <c r="A582" s="26"/>
      <c r="B582" s="153" t="s">
        <v>2</v>
      </c>
      <c r="C582" s="22" t="s">
        <v>82</v>
      </c>
      <c r="D582" s="22" t="s">
        <v>56</v>
      </c>
      <c r="E582" s="23" t="s">
        <v>54</v>
      </c>
      <c r="F582" s="210"/>
      <c r="G582" s="10"/>
      <c r="H582" s="78">
        <f aca="true" t="shared" si="69" ref="H582:J586">H583</f>
        <v>5131.8</v>
      </c>
      <c r="I582" s="78">
        <f t="shared" si="69"/>
        <v>0</v>
      </c>
      <c r="J582" s="221">
        <f t="shared" si="69"/>
        <v>0</v>
      </c>
    </row>
    <row r="583" spans="1:10" ht="56.25">
      <c r="A583" s="26"/>
      <c r="B583" s="153" t="s">
        <v>404</v>
      </c>
      <c r="C583" s="22" t="s">
        <v>82</v>
      </c>
      <c r="D583" s="22" t="s">
        <v>56</v>
      </c>
      <c r="E583" s="122" t="s">
        <v>54</v>
      </c>
      <c r="F583" s="41" t="s">
        <v>399</v>
      </c>
      <c r="G583" s="10"/>
      <c r="H583" s="78">
        <f t="shared" si="69"/>
        <v>5131.8</v>
      </c>
      <c r="I583" s="78">
        <f t="shared" si="69"/>
        <v>0</v>
      </c>
      <c r="J583" s="221">
        <f t="shared" si="69"/>
        <v>0</v>
      </c>
    </row>
    <row r="584" spans="1:10" ht="18.75">
      <c r="A584" s="26"/>
      <c r="B584" s="96" t="s">
        <v>294</v>
      </c>
      <c r="C584" s="14" t="s">
        <v>82</v>
      </c>
      <c r="D584" s="222" t="s">
        <v>56</v>
      </c>
      <c r="E584" s="14" t="s">
        <v>54</v>
      </c>
      <c r="F584" s="14" t="s">
        <v>400</v>
      </c>
      <c r="G584" s="10"/>
      <c r="H584" s="78">
        <f t="shared" si="69"/>
        <v>5131.8</v>
      </c>
      <c r="I584" s="78">
        <f t="shared" si="69"/>
        <v>0</v>
      </c>
      <c r="J584" s="221">
        <f t="shared" si="69"/>
        <v>0</v>
      </c>
    </row>
    <row r="585" spans="1:10" ht="56.25">
      <c r="A585" s="26"/>
      <c r="B585" s="153" t="s">
        <v>741</v>
      </c>
      <c r="C585" s="202" t="s">
        <v>82</v>
      </c>
      <c r="D585" s="202" t="s">
        <v>56</v>
      </c>
      <c r="E585" s="202" t="s">
        <v>54</v>
      </c>
      <c r="F585" s="202" t="s">
        <v>409</v>
      </c>
      <c r="G585" s="10"/>
      <c r="H585" s="78">
        <f t="shared" si="69"/>
        <v>5131.8</v>
      </c>
      <c r="I585" s="78">
        <f t="shared" si="69"/>
        <v>0</v>
      </c>
      <c r="J585" s="221">
        <f t="shared" si="69"/>
        <v>0</v>
      </c>
    </row>
    <row r="586" spans="1:10" ht="56.25">
      <c r="A586" s="26"/>
      <c r="B586" s="95" t="s">
        <v>742</v>
      </c>
      <c r="C586" s="42" t="s">
        <v>82</v>
      </c>
      <c r="D586" s="42" t="s">
        <v>56</v>
      </c>
      <c r="E586" s="42" t="s">
        <v>54</v>
      </c>
      <c r="F586" s="42" t="s">
        <v>410</v>
      </c>
      <c r="G586" s="7"/>
      <c r="H586" s="77">
        <f t="shared" si="69"/>
        <v>5131.8</v>
      </c>
      <c r="I586" s="77">
        <f t="shared" si="69"/>
        <v>0</v>
      </c>
      <c r="J586" s="223">
        <f t="shared" si="69"/>
        <v>0</v>
      </c>
    </row>
    <row r="587" spans="1:10" ht="18">
      <c r="A587" s="26"/>
      <c r="B587" s="93" t="s">
        <v>197</v>
      </c>
      <c r="C587" s="54" t="s">
        <v>82</v>
      </c>
      <c r="D587" s="54" t="s">
        <v>56</v>
      </c>
      <c r="E587" s="54" t="s">
        <v>54</v>
      </c>
      <c r="F587" s="54" t="s">
        <v>410</v>
      </c>
      <c r="G587" s="9" t="s">
        <v>195</v>
      </c>
      <c r="H587" s="70">
        <f>4631.8+500</f>
        <v>5131.8</v>
      </c>
      <c r="I587" s="70">
        <v>0</v>
      </c>
      <c r="J587" s="13">
        <v>0</v>
      </c>
    </row>
    <row r="588" spans="1:10" ht="18.75">
      <c r="A588" s="26"/>
      <c r="B588" s="153" t="s">
        <v>743</v>
      </c>
      <c r="C588" s="22" t="s">
        <v>82</v>
      </c>
      <c r="D588" s="22" t="s">
        <v>56</v>
      </c>
      <c r="E588" s="23" t="s">
        <v>79</v>
      </c>
      <c r="F588" s="10"/>
      <c r="G588" s="10"/>
      <c r="H588" s="78">
        <f aca="true" t="shared" si="70" ref="H588:J592">H589</f>
        <v>240</v>
      </c>
      <c r="I588" s="78">
        <f t="shared" si="70"/>
        <v>0</v>
      </c>
      <c r="J588" s="221">
        <f t="shared" si="70"/>
        <v>0</v>
      </c>
    </row>
    <row r="589" spans="1:10" ht="56.25">
      <c r="A589" s="26"/>
      <c r="B589" s="153" t="s">
        <v>404</v>
      </c>
      <c r="C589" s="22" t="s">
        <v>82</v>
      </c>
      <c r="D589" s="22" t="s">
        <v>56</v>
      </c>
      <c r="E589" s="122" t="s">
        <v>79</v>
      </c>
      <c r="F589" s="41" t="s">
        <v>399</v>
      </c>
      <c r="G589" s="10"/>
      <c r="H589" s="78">
        <f t="shared" si="70"/>
        <v>240</v>
      </c>
      <c r="I589" s="78">
        <f t="shared" si="70"/>
        <v>0</v>
      </c>
      <c r="J589" s="221">
        <f t="shared" si="70"/>
        <v>0</v>
      </c>
    </row>
    <row r="590" spans="1:10" ht="18.75">
      <c r="A590" s="26"/>
      <c r="B590" s="96" t="s">
        <v>294</v>
      </c>
      <c r="C590" s="14" t="s">
        <v>82</v>
      </c>
      <c r="D590" s="222" t="s">
        <v>56</v>
      </c>
      <c r="E590" s="14" t="s">
        <v>79</v>
      </c>
      <c r="F590" s="14" t="s">
        <v>400</v>
      </c>
      <c r="G590" s="10"/>
      <c r="H590" s="78">
        <f t="shared" si="70"/>
        <v>240</v>
      </c>
      <c r="I590" s="78">
        <f t="shared" si="70"/>
        <v>0</v>
      </c>
      <c r="J590" s="221">
        <f t="shared" si="70"/>
        <v>0</v>
      </c>
    </row>
    <row r="591" spans="1:10" ht="56.25">
      <c r="A591" s="26"/>
      <c r="B591" s="153" t="s">
        <v>741</v>
      </c>
      <c r="C591" s="202" t="s">
        <v>82</v>
      </c>
      <c r="D591" s="202" t="s">
        <v>56</v>
      </c>
      <c r="E591" s="202" t="s">
        <v>79</v>
      </c>
      <c r="F591" s="202" t="s">
        <v>409</v>
      </c>
      <c r="G591" s="10"/>
      <c r="H591" s="78">
        <f t="shared" si="70"/>
        <v>240</v>
      </c>
      <c r="I591" s="78">
        <f t="shared" si="70"/>
        <v>0</v>
      </c>
      <c r="J591" s="221">
        <f t="shared" si="70"/>
        <v>0</v>
      </c>
    </row>
    <row r="592" spans="1:10" ht="56.25">
      <c r="A592" s="26"/>
      <c r="B592" s="98" t="s">
        <v>742</v>
      </c>
      <c r="C592" s="42" t="s">
        <v>82</v>
      </c>
      <c r="D592" s="42" t="s">
        <v>56</v>
      </c>
      <c r="E592" s="42" t="s">
        <v>79</v>
      </c>
      <c r="F592" s="42" t="s">
        <v>410</v>
      </c>
      <c r="G592" s="7"/>
      <c r="H592" s="77">
        <f t="shared" si="70"/>
        <v>240</v>
      </c>
      <c r="I592" s="77">
        <f t="shared" si="70"/>
        <v>0</v>
      </c>
      <c r="J592" s="223">
        <f t="shared" si="70"/>
        <v>0</v>
      </c>
    </row>
    <row r="593" spans="1:10" ht="18">
      <c r="A593" s="26"/>
      <c r="B593" s="93" t="s">
        <v>197</v>
      </c>
      <c r="C593" s="54" t="s">
        <v>82</v>
      </c>
      <c r="D593" s="54" t="s">
        <v>56</v>
      </c>
      <c r="E593" s="54" t="s">
        <v>79</v>
      </c>
      <c r="F593" s="54" t="s">
        <v>410</v>
      </c>
      <c r="G593" s="9" t="s">
        <v>195</v>
      </c>
      <c r="H593" s="70">
        <f>240</f>
        <v>240</v>
      </c>
      <c r="I593" s="70">
        <v>0</v>
      </c>
      <c r="J593" s="13">
        <v>0</v>
      </c>
    </row>
    <row r="594" spans="1:10" ht="18.75">
      <c r="A594" s="26"/>
      <c r="B594" s="153" t="s">
        <v>588</v>
      </c>
      <c r="C594" s="22" t="s">
        <v>82</v>
      </c>
      <c r="D594" s="22" t="s">
        <v>56</v>
      </c>
      <c r="E594" s="23" t="s">
        <v>53</v>
      </c>
      <c r="F594" s="10"/>
      <c r="G594" s="10"/>
      <c r="H594" s="78">
        <f>H595</f>
        <v>8675</v>
      </c>
      <c r="I594" s="78">
        <f>I595</f>
        <v>0</v>
      </c>
      <c r="J594" s="221">
        <f>J595</f>
        <v>0</v>
      </c>
    </row>
    <row r="595" spans="1:10" ht="56.25">
      <c r="A595" s="26"/>
      <c r="B595" s="153" t="s">
        <v>404</v>
      </c>
      <c r="C595" s="22" t="s">
        <v>82</v>
      </c>
      <c r="D595" s="22" t="s">
        <v>56</v>
      </c>
      <c r="E595" s="122" t="s">
        <v>53</v>
      </c>
      <c r="F595" s="41" t="s">
        <v>399</v>
      </c>
      <c r="G595" s="10"/>
      <c r="H595" s="78">
        <f aca="true" t="shared" si="71" ref="H595:J598">H596</f>
        <v>8675</v>
      </c>
      <c r="I595" s="78">
        <f t="shared" si="71"/>
        <v>0</v>
      </c>
      <c r="J595" s="221">
        <f t="shared" si="71"/>
        <v>0</v>
      </c>
    </row>
    <row r="596" spans="1:10" ht="18.75">
      <c r="A596" s="26"/>
      <c r="B596" s="96" t="s">
        <v>294</v>
      </c>
      <c r="C596" s="14" t="s">
        <v>82</v>
      </c>
      <c r="D596" s="222" t="s">
        <v>56</v>
      </c>
      <c r="E596" s="14" t="s">
        <v>53</v>
      </c>
      <c r="F596" s="14" t="s">
        <v>400</v>
      </c>
      <c r="G596" s="10"/>
      <c r="H596" s="78">
        <f t="shared" si="71"/>
        <v>8675</v>
      </c>
      <c r="I596" s="78">
        <f t="shared" si="71"/>
        <v>0</v>
      </c>
      <c r="J596" s="221">
        <f t="shared" si="71"/>
        <v>0</v>
      </c>
    </row>
    <row r="597" spans="1:10" ht="56.25">
      <c r="A597" s="26"/>
      <c r="B597" s="153" t="s">
        <v>741</v>
      </c>
      <c r="C597" s="202" t="s">
        <v>82</v>
      </c>
      <c r="D597" s="202" t="s">
        <v>56</v>
      </c>
      <c r="E597" s="202" t="s">
        <v>53</v>
      </c>
      <c r="F597" s="202" t="s">
        <v>409</v>
      </c>
      <c r="G597" s="10"/>
      <c r="H597" s="78">
        <f>H598+H600</f>
        <v>8675</v>
      </c>
      <c r="I597" s="78">
        <f>I598+I600</f>
        <v>0</v>
      </c>
      <c r="J597" s="78">
        <f>J598+J600</f>
        <v>0</v>
      </c>
    </row>
    <row r="598" spans="1:10" ht="56.25">
      <c r="A598" s="26"/>
      <c r="B598" s="98" t="s">
        <v>742</v>
      </c>
      <c r="C598" s="42" t="s">
        <v>82</v>
      </c>
      <c r="D598" s="42" t="s">
        <v>56</v>
      </c>
      <c r="E598" s="42" t="s">
        <v>53</v>
      </c>
      <c r="F598" s="42" t="s">
        <v>410</v>
      </c>
      <c r="G598" s="7"/>
      <c r="H598" s="77">
        <f t="shared" si="71"/>
        <v>4680.4</v>
      </c>
      <c r="I598" s="77">
        <f t="shared" si="71"/>
        <v>0</v>
      </c>
      <c r="J598" s="223">
        <f t="shared" si="71"/>
        <v>0</v>
      </c>
    </row>
    <row r="599" spans="1:10" ht="18">
      <c r="A599" s="26"/>
      <c r="B599" s="93" t="s">
        <v>197</v>
      </c>
      <c r="C599" s="54" t="s">
        <v>82</v>
      </c>
      <c r="D599" s="54" t="s">
        <v>56</v>
      </c>
      <c r="E599" s="54" t="s">
        <v>53</v>
      </c>
      <c r="F599" s="54" t="s">
        <v>410</v>
      </c>
      <c r="G599" s="9" t="s">
        <v>195</v>
      </c>
      <c r="H599" s="70">
        <f>2322+899.5+1458.9</f>
        <v>4680.4</v>
      </c>
      <c r="I599" s="70">
        <v>0</v>
      </c>
      <c r="J599" s="13">
        <v>0</v>
      </c>
    </row>
    <row r="600" spans="1:10" ht="75">
      <c r="A600" s="26"/>
      <c r="B600" s="127" t="s">
        <v>765</v>
      </c>
      <c r="C600" s="42" t="s">
        <v>82</v>
      </c>
      <c r="D600" s="42" t="s">
        <v>56</v>
      </c>
      <c r="E600" s="42" t="s">
        <v>53</v>
      </c>
      <c r="F600" s="42" t="s">
        <v>411</v>
      </c>
      <c r="G600" s="7"/>
      <c r="H600" s="77">
        <f>H601</f>
        <v>3994.6</v>
      </c>
      <c r="I600" s="77">
        <f>I601</f>
        <v>0</v>
      </c>
      <c r="J600" s="77">
        <f>J601</f>
        <v>0</v>
      </c>
    </row>
    <row r="601" spans="1:10" ht="18">
      <c r="A601" s="26"/>
      <c r="B601" s="93" t="s">
        <v>197</v>
      </c>
      <c r="C601" s="54" t="s">
        <v>82</v>
      </c>
      <c r="D601" s="54" t="s">
        <v>56</v>
      </c>
      <c r="E601" s="54" t="s">
        <v>53</v>
      </c>
      <c r="F601" s="54" t="s">
        <v>411</v>
      </c>
      <c r="G601" s="9" t="s">
        <v>195</v>
      </c>
      <c r="H601" s="70">
        <f>3529.6+465</f>
        <v>3994.6</v>
      </c>
      <c r="I601" s="70">
        <v>0</v>
      </c>
      <c r="J601" s="13">
        <v>0</v>
      </c>
    </row>
    <row r="602" spans="1:10" ht="18.75">
      <c r="A602" s="26"/>
      <c r="B602" s="96" t="s">
        <v>43</v>
      </c>
      <c r="C602" s="22" t="s">
        <v>82</v>
      </c>
      <c r="D602" s="22" t="s">
        <v>52</v>
      </c>
      <c r="E602" s="23"/>
      <c r="F602" s="28"/>
      <c r="G602" s="28"/>
      <c r="H602" s="66">
        <f aca="true" t="shared" si="72" ref="H602:J607">H603</f>
        <v>100</v>
      </c>
      <c r="I602" s="66">
        <f t="shared" si="72"/>
        <v>100</v>
      </c>
      <c r="J602" s="186">
        <f t="shared" si="72"/>
        <v>100</v>
      </c>
    </row>
    <row r="603" spans="1:10" ht="37.5">
      <c r="A603" s="26"/>
      <c r="B603" s="116" t="s">
        <v>156</v>
      </c>
      <c r="C603" s="3" t="s">
        <v>82</v>
      </c>
      <c r="D603" s="3" t="s">
        <v>52</v>
      </c>
      <c r="E603" s="4" t="s">
        <v>56</v>
      </c>
      <c r="F603" s="15" t="s">
        <v>78</v>
      </c>
      <c r="G603" s="15"/>
      <c r="H603" s="63">
        <f t="shared" si="72"/>
        <v>100</v>
      </c>
      <c r="I603" s="63">
        <f t="shared" si="72"/>
        <v>100</v>
      </c>
      <c r="J603" s="246">
        <f t="shared" si="72"/>
        <v>100</v>
      </c>
    </row>
    <row r="604" spans="1:10" ht="18.75">
      <c r="A604" s="26"/>
      <c r="B604" s="97" t="s">
        <v>26</v>
      </c>
      <c r="C604" s="3" t="s">
        <v>82</v>
      </c>
      <c r="D604" s="3" t="s">
        <v>52</v>
      </c>
      <c r="E604" s="4" t="s">
        <v>56</v>
      </c>
      <c r="F604" s="4" t="s">
        <v>88</v>
      </c>
      <c r="G604" s="15"/>
      <c r="H604" s="63">
        <f t="shared" si="72"/>
        <v>100</v>
      </c>
      <c r="I604" s="63">
        <f t="shared" si="72"/>
        <v>100</v>
      </c>
      <c r="J604" s="246">
        <f t="shared" si="72"/>
        <v>100</v>
      </c>
    </row>
    <row r="605" spans="1:10" ht="18.75">
      <c r="A605" s="26"/>
      <c r="B605" s="116" t="s">
        <v>35</v>
      </c>
      <c r="C605" s="3" t="s">
        <v>82</v>
      </c>
      <c r="D605" s="3" t="s">
        <v>52</v>
      </c>
      <c r="E605" s="4" t="s">
        <v>56</v>
      </c>
      <c r="F605" s="4" t="s">
        <v>89</v>
      </c>
      <c r="G605" s="15"/>
      <c r="H605" s="63">
        <f t="shared" si="72"/>
        <v>100</v>
      </c>
      <c r="I605" s="63">
        <f t="shared" si="72"/>
        <v>100</v>
      </c>
      <c r="J605" s="246">
        <f t="shared" si="72"/>
        <v>100</v>
      </c>
    </row>
    <row r="606" spans="1:10" ht="18.75">
      <c r="A606" s="26"/>
      <c r="B606" s="116" t="s">
        <v>35</v>
      </c>
      <c r="C606" s="16" t="s">
        <v>82</v>
      </c>
      <c r="D606" s="16" t="s">
        <v>52</v>
      </c>
      <c r="E606" s="17" t="s">
        <v>56</v>
      </c>
      <c r="F606" s="4" t="s">
        <v>90</v>
      </c>
      <c r="G606" s="18"/>
      <c r="H606" s="61">
        <f t="shared" si="72"/>
        <v>100</v>
      </c>
      <c r="I606" s="61">
        <f t="shared" si="72"/>
        <v>100</v>
      </c>
      <c r="J606" s="251">
        <f t="shared" si="72"/>
        <v>100</v>
      </c>
    </row>
    <row r="607" spans="1:10" ht="56.25">
      <c r="A607" s="26"/>
      <c r="B607" s="117" t="s">
        <v>267</v>
      </c>
      <c r="C607" s="16" t="s">
        <v>82</v>
      </c>
      <c r="D607" s="16" t="s">
        <v>52</v>
      </c>
      <c r="E607" s="17" t="s">
        <v>56</v>
      </c>
      <c r="F607" s="17" t="s">
        <v>255</v>
      </c>
      <c r="G607" s="18"/>
      <c r="H607" s="61">
        <f t="shared" si="72"/>
        <v>100</v>
      </c>
      <c r="I607" s="61">
        <f t="shared" si="72"/>
        <v>100</v>
      </c>
      <c r="J607" s="251">
        <f t="shared" si="72"/>
        <v>100</v>
      </c>
    </row>
    <row r="608" spans="1:10" ht="36">
      <c r="A608" s="26"/>
      <c r="B608" s="106" t="s">
        <v>199</v>
      </c>
      <c r="C608" s="8" t="s">
        <v>82</v>
      </c>
      <c r="D608" s="8" t="s">
        <v>52</v>
      </c>
      <c r="E608" s="8" t="s">
        <v>56</v>
      </c>
      <c r="F608" s="8" t="s">
        <v>255</v>
      </c>
      <c r="G608" s="8" t="s">
        <v>192</v>
      </c>
      <c r="H608" s="64">
        <v>100</v>
      </c>
      <c r="I608" s="64">
        <v>100</v>
      </c>
      <c r="J608" s="253">
        <v>100</v>
      </c>
    </row>
    <row r="609" spans="1:10" ht="18.75">
      <c r="A609" s="26"/>
      <c r="B609" s="153" t="s">
        <v>766</v>
      </c>
      <c r="C609" s="22" t="s">
        <v>82</v>
      </c>
      <c r="D609" s="22" t="s">
        <v>58</v>
      </c>
      <c r="E609" s="24"/>
      <c r="F609" s="24"/>
      <c r="G609" s="24"/>
      <c r="H609" s="78">
        <f>H610+H620</f>
        <v>1334.9</v>
      </c>
      <c r="I609" s="78">
        <f>I610+I620</f>
        <v>0</v>
      </c>
      <c r="J609" s="78">
        <f>J610+J620</f>
        <v>0</v>
      </c>
    </row>
    <row r="610" spans="1:11" ht="18.75">
      <c r="A610" s="26"/>
      <c r="B610" s="153" t="s">
        <v>67</v>
      </c>
      <c r="C610" s="22" t="s">
        <v>82</v>
      </c>
      <c r="D610" s="22" t="s">
        <v>58</v>
      </c>
      <c r="E610" s="23" t="s">
        <v>54</v>
      </c>
      <c r="F610" s="10"/>
      <c r="G610" s="10"/>
      <c r="H610" s="78">
        <f>H611</f>
        <v>1063.3</v>
      </c>
      <c r="I610" s="78">
        <f>I611</f>
        <v>0</v>
      </c>
      <c r="J610" s="221">
        <f>J611</f>
        <v>0</v>
      </c>
      <c r="K610" s="204"/>
    </row>
    <row r="611" spans="1:10" ht="56.25">
      <c r="A611" s="26"/>
      <c r="B611" s="153" t="s">
        <v>404</v>
      </c>
      <c r="C611" s="22" t="s">
        <v>82</v>
      </c>
      <c r="D611" s="22" t="s">
        <v>58</v>
      </c>
      <c r="E611" s="122" t="s">
        <v>54</v>
      </c>
      <c r="F611" s="41" t="s">
        <v>399</v>
      </c>
      <c r="G611" s="10"/>
      <c r="H611" s="78">
        <f aca="true" t="shared" si="73" ref="H611:J616">H612</f>
        <v>1063.3</v>
      </c>
      <c r="I611" s="78">
        <f t="shared" si="73"/>
        <v>0</v>
      </c>
      <c r="J611" s="221">
        <f t="shared" si="73"/>
        <v>0</v>
      </c>
    </row>
    <row r="612" spans="1:10" ht="18.75">
      <c r="A612" s="26"/>
      <c r="B612" s="96" t="s">
        <v>294</v>
      </c>
      <c r="C612" s="14" t="s">
        <v>82</v>
      </c>
      <c r="D612" s="222" t="s">
        <v>58</v>
      </c>
      <c r="E612" s="14" t="s">
        <v>54</v>
      </c>
      <c r="F612" s="14" t="s">
        <v>400</v>
      </c>
      <c r="G612" s="10"/>
      <c r="H612" s="78">
        <f t="shared" si="73"/>
        <v>1063.3</v>
      </c>
      <c r="I612" s="78">
        <f t="shared" si="73"/>
        <v>0</v>
      </c>
      <c r="J612" s="221">
        <f t="shared" si="73"/>
        <v>0</v>
      </c>
    </row>
    <row r="613" spans="1:10" ht="56.25">
      <c r="A613" s="26"/>
      <c r="B613" s="153" t="s">
        <v>741</v>
      </c>
      <c r="C613" s="202" t="s">
        <v>82</v>
      </c>
      <c r="D613" s="202" t="s">
        <v>58</v>
      </c>
      <c r="E613" s="202" t="s">
        <v>54</v>
      </c>
      <c r="F613" s="202" t="s">
        <v>409</v>
      </c>
      <c r="G613" s="10"/>
      <c r="H613" s="78">
        <f>H614+H616+H618</f>
        <v>1063.3</v>
      </c>
      <c r="I613" s="78">
        <f>I614+I616+I618</f>
        <v>0</v>
      </c>
      <c r="J613" s="78">
        <f>J614+J616+J618</f>
        <v>0</v>
      </c>
    </row>
    <row r="614" spans="1:10" ht="75">
      <c r="A614" s="26"/>
      <c r="B614" s="98" t="s">
        <v>745</v>
      </c>
      <c r="C614" s="42" t="s">
        <v>82</v>
      </c>
      <c r="D614" s="42" t="s">
        <v>58</v>
      </c>
      <c r="E614" s="42" t="s">
        <v>54</v>
      </c>
      <c r="F614" s="42" t="s">
        <v>744</v>
      </c>
      <c r="G614" s="7"/>
      <c r="H614" s="77">
        <f t="shared" si="73"/>
        <v>783.1</v>
      </c>
      <c r="I614" s="77">
        <f t="shared" si="73"/>
        <v>0</v>
      </c>
      <c r="J614" s="223">
        <f t="shared" si="73"/>
        <v>0</v>
      </c>
    </row>
    <row r="615" spans="1:10" ht="18">
      <c r="A615" s="26"/>
      <c r="B615" s="93" t="s">
        <v>197</v>
      </c>
      <c r="C615" s="54" t="s">
        <v>82</v>
      </c>
      <c r="D615" s="54" t="s">
        <v>58</v>
      </c>
      <c r="E615" s="54" t="s">
        <v>54</v>
      </c>
      <c r="F615" s="54" t="s">
        <v>744</v>
      </c>
      <c r="G615" s="9" t="s">
        <v>195</v>
      </c>
      <c r="H615" s="70">
        <v>783.1</v>
      </c>
      <c r="I615" s="70">
        <v>0</v>
      </c>
      <c r="J615" s="13">
        <v>0</v>
      </c>
    </row>
    <row r="616" spans="1:10" ht="56.25">
      <c r="A616" s="26"/>
      <c r="B616" s="98" t="s">
        <v>742</v>
      </c>
      <c r="C616" s="42" t="s">
        <v>82</v>
      </c>
      <c r="D616" s="42" t="s">
        <v>58</v>
      </c>
      <c r="E616" s="42" t="s">
        <v>54</v>
      </c>
      <c r="F616" s="42" t="s">
        <v>410</v>
      </c>
      <c r="G616" s="7"/>
      <c r="H616" s="77">
        <f t="shared" si="73"/>
        <v>165</v>
      </c>
      <c r="I616" s="77">
        <f t="shared" si="73"/>
        <v>0</v>
      </c>
      <c r="J616" s="223">
        <f t="shared" si="73"/>
        <v>0</v>
      </c>
    </row>
    <row r="617" spans="1:10" ht="18">
      <c r="A617" s="26"/>
      <c r="B617" s="93" t="s">
        <v>197</v>
      </c>
      <c r="C617" s="54" t="s">
        <v>82</v>
      </c>
      <c r="D617" s="54" t="s">
        <v>58</v>
      </c>
      <c r="E617" s="54" t="s">
        <v>54</v>
      </c>
      <c r="F617" s="54" t="s">
        <v>410</v>
      </c>
      <c r="G617" s="9" t="s">
        <v>195</v>
      </c>
      <c r="H617" s="70">
        <v>165</v>
      </c>
      <c r="I617" s="70">
        <v>0</v>
      </c>
      <c r="J617" s="13">
        <v>0</v>
      </c>
    </row>
    <row r="618" spans="1:10" ht="75">
      <c r="A618" s="26"/>
      <c r="B618" s="127" t="s">
        <v>765</v>
      </c>
      <c r="C618" s="42" t="s">
        <v>82</v>
      </c>
      <c r="D618" s="42" t="s">
        <v>58</v>
      </c>
      <c r="E618" s="42" t="s">
        <v>54</v>
      </c>
      <c r="F618" s="42" t="s">
        <v>411</v>
      </c>
      <c r="G618" s="7"/>
      <c r="H618" s="77">
        <f>H619</f>
        <v>115.2</v>
      </c>
      <c r="I618" s="77">
        <f>I619</f>
        <v>0</v>
      </c>
      <c r="J618" s="77">
        <f>J619</f>
        <v>0</v>
      </c>
    </row>
    <row r="619" spans="1:10" ht="18">
      <c r="A619" s="26"/>
      <c r="B619" s="93" t="s">
        <v>197</v>
      </c>
      <c r="C619" s="54" t="s">
        <v>82</v>
      </c>
      <c r="D619" s="54" t="s">
        <v>58</v>
      </c>
      <c r="E619" s="54" t="s">
        <v>54</v>
      </c>
      <c r="F619" s="54" t="s">
        <v>411</v>
      </c>
      <c r="G619" s="9" t="s">
        <v>195</v>
      </c>
      <c r="H619" s="70">
        <v>115.2</v>
      </c>
      <c r="I619" s="70">
        <v>0</v>
      </c>
      <c r="J619" s="13">
        <v>0</v>
      </c>
    </row>
    <row r="620" spans="1:10" ht="18.75">
      <c r="A620" s="26"/>
      <c r="B620" s="153" t="s">
        <v>767</v>
      </c>
      <c r="C620" s="202" t="s">
        <v>82</v>
      </c>
      <c r="D620" s="202" t="s">
        <v>58</v>
      </c>
      <c r="E620" s="202" t="s">
        <v>55</v>
      </c>
      <c r="F620" s="210"/>
      <c r="G620" s="10"/>
      <c r="H620" s="78">
        <f aca="true" t="shared" si="74" ref="H620:J624">H621</f>
        <v>271.6</v>
      </c>
      <c r="I620" s="78">
        <f t="shared" si="74"/>
        <v>0</v>
      </c>
      <c r="J620" s="78">
        <f t="shared" si="74"/>
        <v>0</v>
      </c>
    </row>
    <row r="621" spans="1:10" ht="56.25">
      <c r="A621" s="26"/>
      <c r="B621" s="153" t="s">
        <v>404</v>
      </c>
      <c r="C621" s="22" t="s">
        <v>82</v>
      </c>
      <c r="D621" s="22" t="s">
        <v>58</v>
      </c>
      <c r="E621" s="122" t="s">
        <v>55</v>
      </c>
      <c r="F621" s="41" t="s">
        <v>399</v>
      </c>
      <c r="G621" s="10"/>
      <c r="H621" s="78">
        <f t="shared" si="74"/>
        <v>271.6</v>
      </c>
      <c r="I621" s="78">
        <f t="shared" si="74"/>
        <v>0</v>
      </c>
      <c r="J621" s="78">
        <f t="shared" si="74"/>
        <v>0</v>
      </c>
    </row>
    <row r="622" spans="1:10" ht="18.75">
      <c r="A622" s="26"/>
      <c r="B622" s="96" t="s">
        <v>294</v>
      </c>
      <c r="C622" s="14" t="s">
        <v>82</v>
      </c>
      <c r="D622" s="222" t="s">
        <v>58</v>
      </c>
      <c r="E622" s="14" t="s">
        <v>55</v>
      </c>
      <c r="F622" s="14" t="s">
        <v>400</v>
      </c>
      <c r="G622" s="10"/>
      <c r="H622" s="78">
        <f t="shared" si="74"/>
        <v>271.6</v>
      </c>
      <c r="I622" s="78">
        <f t="shared" si="74"/>
        <v>0</v>
      </c>
      <c r="J622" s="78">
        <f t="shared" si="74"/>
        <v>0</v>
      </c>
    </row>
    <row r="623" spans="1:10" ht="56.25">
      <c r="A623" s="26"/>
      <c r="B623" s="153" t="s">
        <v>741</v>
      </c>
      <c r="C623" s="202" t="s">
        <v>82</v>
      </c>
      <c r="D623" s="202" t="s">
        <v>58</v>
      </c>
      <c r="E623" s="202" t="s">
        <v>55</v>
      </c>
      <c r="F623" s="202" t="s">
        <v>409</v>
      </c>
      <c r="G623" s="10"/>
      <c r="H623" s="78">
        <f t="shared" si="74"/>
        <v>271.6</v>
      </c>
      <c r="I623" s="78">
        <f t="shared" si="74"/>
        <v>0</v>
      </c>
      <c r="J623" s="78">
        <f t="shared" si="74"/>
        <v>0</v>
      </c>
    </row>
    <row r="624" spans="1:10" ht="75">
      <c r="A624" s="26"/>
      <c r="B624" s="98" t="s">
        <v>765</v>
      </c>
      <c r="C624" s="178" t="s">
        <v>82</v>
      </c>
      <c r="D624" s="178" t="s">
        <v>58</v>
      </c>
      <c r="E624" s="178" t="s">
        <v>55</v>
      </c>
      <c r="F624" s="178" t="s">
        <v>411</v>
      </c>
      <c r="G624" s="21"/>
      <c r="H624" s="65">
        <f t="shared" si="74"/>
        <v>271.6</v>
      </c>
      <c r="I624" s="65">
        <f t="shared" si="74"/>
        <v>0</v>
      </c>
      <c r="J624" s="65">
        <f t="shared" si="74"/>
        <v>0</v>
      </c>
    </row>
    <row r="625" spans="1:10" ht="18">
      <c r="A625" s="26"/>
      <c r="B625" s="151" t="s">
        <v>197</v>
      </c>
      <c r="C625" s="210" t="s">
        <v>82</v>
      </c>
      <c r="D625" s="210" t="s">
        <v>58</v>
      </c>
      <c r="E625" s="210" t="s">
        <v>55</v>
      </c>
      <c r="F625" s="210" t="s">
        <v>411</v>
      </c>
      <c r="G625" s="10" t="s">
        <v>195</v>
      </c>
      <c r="H625" s="79">
        <v>271.6</v>
      </c>
      <c r="I625" s="79">
        <v>0</v>
      </c>
      <c r="J625" s="245">
        <v>0</v>
      </c>
    </row>
    <row r="626" spans="1:10" ht="18.75">
      <c r="A626" s="26"/>
      <c r="B626" s="116" t="s">
        <v>202</v>
      </c>
      <c r="C626" s="14" t="s">
        <v>82</v>
      </c>
      <c r="D626" s="14" t="s">
        <v>100</v>
      </c>
      <c r="E626" s="51"/>
      <c r="F626" s="51"/>
      <c r="G626" s="51"/>
      <c r="H626" s="87">
        <f aca="true" t="shared" si="75" ref="H626:J631">H627</f>
        <v>200</v>
      </c>
      <c r="I626" s="87">
        <f t="shared" si="75"/>
        <v>200</v>
      </c>
      <c r="J626" s="272">
        <f t="shared" si="75"/>
        <v>200</v>
      </c>
    </row>
    <row r="627" spans="1:10" ht="37.5">
      <c r="A627" s="26"/>
      <c r="B627" s="146" t="s">
        <v>246</v>
      </c>
      <c r="C627" s="14" t="s">
        <v>82</v>
      </c>
      <c r="D627" s="52" t="s">
        <v>100</v>
      </c>
      <c r="E627" s="53" t="s">
        <v>54</v>
      </c>
      <c r="F627" s="50"/>
      <c r="G627" s="50"/>
      <c r="H627" s="87">
        <f t="shared" si="75"/>
        <v>200</v>
      </c>
      <c r="I627" s="87">
        <f t="shared" si="75"/>
        <v>200</v>
      </c>
      <c r="J627" s="272">
        <f t="shared" si="75"/>
        <v>200</v>
      </c>
    </row>
    <row r="628" spans="1:10" ht="56.25">
      <c r="A628" s="26"/>
      <c r="B628" s="115" t="s">
        <v>404</v>
      </c>
      <c r="C628" s="49" t="s">
        <v>82</v>
      </c>
      <c r="D628" s="31" t="s">
        <v>100</v>
      </c>
      <c r="E628" s="31" t="s">
        <v>54</v>
      </c>
      <c r="F628" s="31" t="s">
        <v>399</v>
      </c>
      <c r="G628" s="18"/>
      <c r="H628" s="62">
        <f t="shared" si="75"/>
        <v>200</v>
      </c>
      <c r="I628" s="62">
        <f t="shared" si="75"/>
        <v>200</v>
      </c>
      <c r="J628" s="188">
        <f t="shared" si="75"/>
        <v>200</v>
      </c>
    </row>
    <row r="629" spans="1:10" ht="18.75">
      <c r="A629" s="26"/>
      <c r="B629" s="95" t="s">
        <v>294</v>
      </c>
      <c r="C629" s="31" t="s">
        <v>82</v>
      </c>
      <c r="D629" s="32" t="s">
        <v>100</v>
      </c>
      <c r="E629" s="31" t="s">
        <v>54</v>
      </c>
      <c r="F629" s="31" t="s">
        <v>400</v>
      </c>
      <c r="G629" s="46"/>
      <c r="H629" s="88">
        <f t="shared" si="75"/>
        <v>200</v>
      </c>
      <c r="I629" s="88">
        <f t="shared" si="75"/>
        <v>200</v>
      </c>
      <c r="J629" s="273">
        <f t="shared" si="75"/>
        <v>200</v>
      </c>
    </row>
    <row r="630" spans="1:10" ht="37.5">
      <c r="A630" s="26"/>
      <c r="B630" s="95" t="s">
        <v>403</v>
      </c>
      <c r="C630" s="31" t="s">
        <v>82</v>
      </c>
      <c r="D630" s="32" t="s">
        <v>100</v>
      </c>
      <c r="E630" s="31" t="s">
        <v>54</v>
      </c>
      <c r="F630" s="31" t="s">
        <v>401</v>
      </c>
      <c r="G630" s="46"/>
      <c r="H630" s="88">
        <f t="shared" si="75"/>
        <v>200</v>
      </c>
      <c r="I630" s="88">
        <f t="shared" si="75"/>
        <v>200</v>
      </c>
      <c r="J630" s="273">
        <f t="shared" si="75"/>
        <v>200</v>
      </c>
    </row>
    <row r="631" spans="1:10" ht="18.75">
      <c r="A631" s="26"/>
      <c r="B631" s="95" t="s">
        <v>127</v>
      </c>
      <c r="C631" s="31" t="s">
        <v>82</v>
      </c>
      <c r="D631" s="32" t="s">
        <v>100</v>
      </c>
      <c r="E631" s="31" t="s">
        <v>54</v>
      </c>
      <c r="F631" s="31" t="s">
        <v>402</v>
      </c>
      <c r="G631" s="46"/>
      <c r="H631" s="88">
        <f t="shared" si="75"/>
        <v>200</v>
      </c>
      <c r="I631" s="88">
        <f t="shared" si="75"/>
        <v>200</v>
      </c>
      <c r="J631" s="273">
        <f t="shared" si="75"/>
        <v>200</v>
      </c>
    </row>
    <row r="632" spans="1:10" ht="18">
      <c r="A632" s="26"/>
      <c r="B632" s="93" t="s">
        <v>202</v>
      </c>
      <c r="C632" s="8" t="s">
        <v>82</v>
      </c>
      <c r="D632" s="8" t="s">
        <v>100</v>
      </c>
      <c r="E632" s="8" t="s">
        <v>54</v>
      </c>
      <c r="F632" s="8" t="s">
        <v>402</v>
      </c>
      <c r="G632" s="8" t="s">
        <v>198</v>
      </c>
      <c r="H632" s="70">
        <v>200</v>
      </c>
      <c r="I632" s="70">
        <v>200</v>
      </c>
      <c r="J632" s="13">
        <v>200</v>
      </c>
    </row>
    <row r="633" spans="1:10" ht="37.5">
      <c r="A633" s="26"/>
      <c r="B633" s="116" t="s">
        <v>29</v>
      </c>
      <c r="C633" s="3" t="s">
        <v>82</v>
      </c>
      <c r="D633" s="3" t="s">
        <v>112</v>
      </c>
      <c r="E633" s="4"/>
      <c r="F633" s="15"/>
      <c r="G633" s="15"/>
      <c r="H633" s="66">
        <f>H634+H642</f>
        <v>232884.2</v>
      </c>
      <c r="I633" s="66">
        <f>I634+I642</f>
        <v>270689.6</v>
      </c>
      <c r="J633" s="186">
        <f>J634+J642</f>
        <v>241691</v>
      </c>
    </row>
    <row r="634" spans="1:10" ht="37.5">
      <c r="A634" s="26"/>
      <c r="B634" s="116" t="s">
        <v>30</v>
      </c>
      <c r="C634" s="3" t="s">
        <v>82</v>
      </c>
      <c r="D634" s="3" t="s">
        <v>112</v>
      </c>
      <c r="E634" s="4" t="s">
        <v>54</v>
      </c>
      <c r="F634" s="15"/>
      <c r="G634" s="15"/>
      <c r="H634" s="66">
        <f aca="true" t="shared" si="76" ref="H634:J636">H635</f>
        <v>183799.5</v>
      </c>
      <c r="I634" s="66">
        <f t="shared" si="76"/>
        <v>183557.5</v>
      </c>
      <c r="J634" s="186">
        <f t="shared" si="76"/>
        <v>154558.9</v>
      </c>
    </row>
    <row r="635" spans="1:10" ht="56.25">
      <c r="A635" s="26"/>
      <c r="B635" s="115" t="s">
        <v>24</v>
      </c>
      <c r="C635" s="49" t="s">
        <v>82</v>
      </c>
      <c r="D635" s="31" t="s">
        <v>112</v>
      </c>
      <c r="E635" s="31" t="s">
        <v>54</v>
      </c>
      <c r="F635" s="31" t="s">
        <v>399</v>
      </c>
      <c r="G635" s="18"/>
      <c r="H635" s="62">
        <f t="shared" si="76"/>
        <v>183799.5</v>
      </c>
      <c r="I635" s="62">
        <f t="shared" si="76"/>
        <v>183557.5</v>
      </c>
      <c r="J635" s="188">
        <f t="shared" si="76"/>
        <v>154558.9</v>
      </c>
    </row>
    <row r="636" spans="1:10" ht="18.75">
      <c r="A636" s="26"/>
      <c r="B636" s="95" t="s">
        <v>294</v>
      </c>
      <c r="C636" s="48" t="s">
        <v>82</v>
      </c>
      <c r="D636" s="48" t="s">
        <v>112</v>
      </c>
      <c r="E636" s="48" t="s">
        <v>54</v>
      </c>
      <c r="F636" s="48" t="s">
        <v>400</v>
      </c>
      <c r="G636" s="11"/>
      <c r="H636" s="62">
        <f t="shared" si="76"/>
        <v>183799.5</v>
      </c>
      <c r="I636" s="62">
        <f t="shared" si="76"/>
        <v>183557.5</v>
      </c>
      <c r="J636" s="188">
        <f t="shared" si="76"/>
        <v>154558.9</v>
      </c>
    </row>
    <row r="637" spans="1:10" ht="56.25">
      <c r="A637" s="26"/>
      <c r="B637" s="95" t="s">
        <v>408</v>
      </c>
      <c r="C637" s="31" t="s">
        <v>82</v>
      </c>
      <c r="D637" s="32" t="s">
        <v>112</v>
      </c>
      <c r="E637" s="31" t="s">
        <v>54</v>
      </c>
      <c r="F637" s="31" t="s">
        <v>405</v>
      </c>
      <c r="G637" s="11"/>
      <c r="H637" s="62">
        <f>H638+H640</f>
        <v>183799.5</v>
      </c>
      <c r="I637" s="62">
        <f>I638+I640</f>
        <v>183557.5</v>
      </c>
      <c r="J637" s="188">
        <f>J638+J640</f>
        <v>154558.9</v>
      </c>
    </row>
    <row r="638" spans="1:10" ht="37.5">
      <c r="A638" s="26"/>
      <c r="B638" s="95" t="s">
        <v>398</v>
      </c>
      <c r="C638" s="48" t="s">
        <v>82</v>
      </c>
      <c r="D638" s="48" t="s">
        <v>112</v>
      </c>
      <c r="E638" s="48" t="s">
        <v>54</v>
      </c>
      <c r="F638" s="48" t="s">
        <v>407</v>
      </c>
      <c r="G638" s="11"/>
      <c r="H638" s="62">
        <f>H639</f>
        <v>159803.6</v>
      </c>
      <c r="I638" s="62">
        <f>I639</f>
        <v>157509.6</v>
      </c>
      <c r="J638" s="188">
        <f>J639</f>
        <v>137247.3</v>
      </c>
    </row>
    <row r="639" spans="1:10" ht="18">
      <c r="A639" s="26"/>
      <c r="B639" s="147" t="s">
        <v>197</v>
      </c>
      <c r="C639" s="54" t="s">
        <v>82</v>
      </c>
      <c r="D639" s="54" t="s">
        <v>112</v>
      </c>
      <c r="E639" s="54" t="s">
        <v>54</v>
      </c>
      <c r="F639" s="54" t="s">
        <v>407</v>
      </c>
      <c r="G639" s="54" t="s">
        <v>195</v>
      </c>
      <c r="H639" s="74">
        <v>159803.6</v>
      </c>
      <c r="I639" s="197">
        <v>157509.6</v>
      </c>
      <c r="J639" s="197">
        <v>137247.3</v>
      </c>
    </row>
    <row r="640" spans="1:10" ht="37.5">
      <c r="A640" s="26"/>
      <c r="B640" s="95" t="s">
        <v>242</v>
      </c>
      <c r="C640" s="48" t="s">
        <v>82</v>
      </c>
      <c r="D640" s="48" t="s">
        <v>112</v>
      </c>
      <c r="E640" s="48" t="s">
        <v>54</v>
      </c>
      <c r="F640" s="48" t="s">
        <v>406</v>
      </c>
      <c r="G640" s="11"/>
      <c r="H640" s="62">
        <f>H641</f>
        <v>23995.9</v>
      </c>
      <c r="I640" s="62">
        <f>I641</f>
        <v>26047.9</v>
      </c>
      <c r="J640" s="188">
        <f>J641</f>
        <v>17311.6</v>
      </c>
    </row>
    <row r="641" spans="1:10" ht="18">
      <c r="A641" s="26"/>
      <c r="B641" s="147" t="s">
        <v>197</v>
      </c>
      <c r="C641" s="54" t="s">
        <v>82</v>
      </c>
      <c r="D641" s="54" t="s">
        <v>112</v>
      </c>
      <c r="E641" s="54" t="s">
        <v>54</v>
      </c>
      <c r="F641" s="54" t="s">
        <v>406</v>
      </c>
      <c r="G641" s="54" t="s">
        <v>195</v>
      </c>
      <c r="H641" s="89">
        <v>23995.9</v>
      </c>
      <c r="I641" s="89">
        <v>26047.9</v>
      </c>
      <c r="J641" s="274">
        <f>16400.1+911.5</f>
        <v>17311.6</v>
      </c>
    </row>
    <row r="642" spans="1:10" ht="18.75">
      <c r="A642" s="26"/>
      <c r="B642" s="96" t="s">
        <v>51</v>
      </c>
      <c r="C642" s="22" t="s">
        <v>82</v>
      </c>
      <c r="D642" s="22" t="s">
        <v>112</v>
      </c>
      <c r="E642" s="23" t="s">
        <v>53</v>
      </c>
      <c r="F642" s="28"/>
      <c r="G642" s="28"/>
      <c r="H642" s="66">
        <f aca="true" t="shared" si="77" ref="H642:J644">H643</f>
        <v>49084.70000000001</v>
      </c>
      <c r="I642" s="66">
        <f t="shared" si="77"/>
        <v>87132.1</v>
      </c>
      <c r="J642" s="186">
        <f t="shared" si="77"/>
        <v>87132.1</v>
      </c>
    </row>
    <row r="643" spans="1:10" ht="56.25">
      <c r="A643" s="26"/>
      <c r="B643" s="95" t="s">
        <v>24</v>
      </c>
      <c r="C643" s="41" t="s">
        <v>82</v>
      </c>
      <c r="D643" s="41" t="s">
        <v>112</v>
      </c>
      <c r="E643" s="41" t="s">
        <v>53</v>
      </c>
      <c r="F643" s="48" t="s">
        <v>399</v>
      </c>
      <c r="G643" s="41"/>
      <c r="H643" s="83">
        <f t="shared" si="77"/>
        <v>49084.70000000001</v>
      </c>
      <c r="I643" s="83">
        <f t="shared" si="77"/>
        <v>87132.1</v>
      </c>
      <c r="J643" s="264">
        <f t="shared" si="77"/>
        <v>87132.1</v>
      </c>
    </row>
    <row r="644" spans="1:10" ht="18.75">
      <c r="A644" s="26"/>
      <c r="B644" s="96" t="s">
        <v>294</v>
      </c>
      <c r="C644" s="41" t="s">
        <v>82</v>
      </c>
      <c r="D644" s="41" t="s">
        <v>112</v>
      </c>
      <c r="E644" s="41" t="s">
        <v>53</v>
      </c>
      <c r="F644" s="41" t="s">
        <v>400</v>
      </c>
      <c r="G644" s="41"/>
      <c r="H644" s="83">
        <f t="shared" si="77"/>
        <v>49084.70000000001</v>
      </c>
      <c r="I644" s="83">
        <f t="shared" si="77"/>
        <v>87132.1</v>
      </c>
      <c r="J644" s="264">
        <f t="shared" si="77"/>
        <v>87132.1</v>
      </c>
    </row>
    <row r="645" spans="1:10" ht="56.25">
      <c r="A645" s="26"/>
      <c r="B645" s="127" t="s">
        <v>412</v>
      </c>
      <c r="C645" s="42" t="s">
        <v>82</v>
      </c>
      <c r="D645" s="42" t="s">
        <v>112</v>
      </c>
      <c r="E645" s="42" t="s">
        <v>53</v>
      </c>
      <c r="F645" s="42" t="s">
        <v>409</v>
      </c>
      <c r="G645" s="42"/>
      <c r="H645" s="86">
        <f>H646+H648</f>
        <v>49084.70000000001</v>
      </c>
      <c r="I645" s="86">
        <f>I646+I648</f>
        <v>87132.1</v>
      </c>
      <c r="J645" s="275">
        <f>J646+J648</f>
        <v>87132.1</v>
      </c>
    </row>
    <row r="646" spans="1:10" ht="56.25">
      <c r="A646" s="26"/>
      <c r="B646" s="95" t="s">
        <v>190</v>
      </c>
      <c r="C646" s="48" t="s">
        <v>82</v>
      </c>
      <c r="D646" s="48" t="s">
        <v>112</v>
      </c>
      <c r="E646" s="48" t="s">
        <v>53</v>
      </c>
      <c r="F646" s="91" t="s">
        <v>410</v>
      </c>
      <c r="G646" s="56"/>
      <c r="H646" s="72">
        <f>H647</f>
        <v>0</v>
      </c>
      <c r="I646" s="72">
        <f>I647</f>
        <v>13000</v>
      </c>
      <c r="J646" s="256">
        <f>J647</f>
        <v>13000</v>
      </c>
    </row>
    <row r="647" spans="1:10" ht="18">
      <c r="A647" s="26"/>
      <c r="B647" s="93" t="s">
        <v>197</v>
      </c>
      <c r="C647" s="9" t="s">
        <v>82</v>
      </c>
      <c r="D647" s="9" t="s">
        <v>112</v>
      </c>
      <c r="E647" s="9" t="s">
        <v>53</v>
      </c>
      <c r="F647" s="9" t="s">
        <v>410</v>
      </c>
      <c r="G647" s="9" t="s">
        <v>195</v>
      </c>
      <c r="H647" s="70">
        <f>13000-2807-4631.8-4399.5+297.2-1458.9</f>
        <v>0</v>
      </c>
      <c r="I647" s="70">
        <v>13000</v>
      </c>
      <c r="J647" s="13">
        <v>13000</v>
      </c>
    </row>
    <row r="648" spans="1:10" ht="75">
      <c r="A648" s="26"/>
      <c r="B648" s="95" t="s">
        <v>240</v>
      </c>
      <c r="C648" s="48" t="s">
        <v>82</v>
      </c>
      <c r="D648" s="48" t="s">
        <v>112</v>
      </c>
      <c r="E648" s="48" t="s">
        <v>53</v>
      </c>
      <c r="F648" s="91" t="s">
        <v>411</v>
      </c>
      <c r="G648" s="56"/>
      <c r="H648" s="72">
        <f>H649</f>
        <v>49084.70000000001</v>
      </c>
      <c r="I648" s="72">
        <f>I649</f>
        <v>74132.1</v>
      </c>
      <c r="J648" s="256">
        <f>J649</f>
        <v>74132.1</v>
      </c>
    </row>
    <row r="649" spans="1:10" ht="18.75" thickBot="1">
      <c r="A649" s="26"/>
      <c r="B649" s="175" t="s">
        <v>197</v>
      </c>
      <c r="C649" s="176" t="s">
        <v>82</v>
      </c>
      <c r="D649" s="176" t="s">
        <v>112</v>
      </c>
      <c r="E649" s="176" t="s">
        <v>53</v>
      </c>
      <c r="F649" s="176" t="s">
        <v>411</v>
      </c>
      <c r="G649" s="176" t="s">
        <v>195</v>
      </c>
      <c r="H649" s="174">
        <f>81232.1-7100-24285.2-297.2-465</f>
        <v>49084.70000000001</v>
      </c>
      <c r="I649" s="174">
        <f>81232.1-7100</f>
        <v>74132.1</v>
      </c>
      <c r="J649" s="229">
        <f>81232.1-7100</f>
        <v>74132.1</v>
      </c>
    </row>
    <row r="650" spans="1:10" ht="38.25" thickBot="1">
      <c r="A650" s="159" t="s">
        <v>55</v>
      </c>
      <c r="B650" s="160" t="s">
        <v>10</v>
      </c>
      <c r="C650" s="161" t="s">
        <v>15</v>
      </c>
      <c r="D650" s="161"/>
      <c r="E650" s="162" t="s">
        <v>37</v>
      </c>
      <c r="F650" s="162" t="s">
        <v>37</v>
      </c>
      <c r="G650" s="162" t="s">
        <v>37</v>
      </c>
      <c r="H650" s="163">
        <f>H658+H992+H651+H1014</f>
        <v>2995539.6</v>
      </c>
      <c r="I650" s="163">
        <f>I658+I992+I651+I1014</f>
        <v>2888025.3</v>
      </c>
      <c r="J650" s="164">
        <f>J658+J992+J651+J1014</f>
        <v>2869791.9</v>
      </c>
    </row>
    <row r="651" spans="1:10" ht="18.75">
      <c r="A651" s="109"/>
      <c r="B651" s="113" t="s">
        <v>248</v>
      </c>
      <c r="C651" s="43" t="s">
        <v>15</v>
      </c>
      <c r="D651" s="43" t="s">
        <v>57</v>
      </c>
      <c r="E651" s="27"/>
      <c r="F651" s="27"/>
      <c r="G651" s="27"/>
      <c r="H651" s="67">
        <f aca="true" t="shared" si="78" ref="H651:J655">H652</f>
        <v>166.7</v>
      </c>
      <c r="I651" s="67">
        <f t="shared" si="78"/>
        <v>168.5</v>
      </c>
      <c r="J651" s="244">
        <f t="shared" si="78"/>
        <v>170.4</v>
      </c>
    </row>
    <row r="652" spans="1:10" ht="18.75">
      <c r="A652" s="109"/>
      <c r="B652" s="96" t="s">
        <v>247</v>
      </c>
      <c r="C652" s="22" t="s">
        <v>15</v>
      </c>
      <c r="D652" s="22" t="s">
        <v>57</v>
      </c>
      <c r="E652" s="23" t="s">
        <v>56</v>
      </c>
      <c r="F652" s="23"/>
      <c r="G652" s="23"/>
      <c r="H652" s="66">
        <f t="shared" si="78"/>
        <v>166.7</v>
      </c>
      <c r="I652" s="66">
        <f t="shared" si="78"/>
        <v>168.5</v>
      </c>
      <c r="J652" s="186">
        <f t="shared" si="78"/>
        <v>170.4</v>
      </c>
    </row>
    <row r="653" spans="1:10" ht="37.5">
      <c r="A653" s="109"/>
      <c r="B653" s="96" t="s">
        <v>160</v>
      </c>
      <c r="C653" s="22" t="s">
        <v>15</v>
      </c>
      <c r="D653" s="22" t="s">
        <v>57</v>
      </c>
      <c r="E653" s="23" t="s">
        <v>56</v>
      </c>
      <c r="F653" s="23" t="s">
        <v>338</v>
      </c>
      <c r="G653" s="23"/>
      <c r="H653" s="66">
        <f t="shared" si="78"/>
        <v>166.7</v>
      </c>
      <c r="I653" s="66">
        <f t="shared" si="78"/>
        <v>168.5</v>
      </c>
      <c r="J653" s="186">
        <f t="shared" si="78"/>
        <v>170.4</v>
      </c>
    </row>
    <row r="654" spans="1:10" ht="18.75">
      <c r="A654" s="109"/>
      <c r="B654" s="95" t="s">
        <v>294</v>
      </c>
      <c r="C654" s="11" t="s">
        <v>15</v>
      </c>
      <c r="D654" s="11" t="s">
        <v>57</v>
      </c>
      <c r="E654" s="1" t="s">
        <v>56</v>
      </c>
      <c r="F654" s="1" t="s">
        <v>359</v>
      </c>
      <c r="G654" s="1"/>
      <c r="H654" s="62">
        <f t="shared" si="78"/>
        <v>166.7</v>
      </c>
      <c r="I654" s="62">
        <f t="shared" si="78"/>
        <v>168.5</v>
      </c>
      <c r="J654" s="188">
        <f t="shared" si="78"/>
        <v>170.4</v>
      </c>
    </row>
    <row r="655" spans="1:10" ht="37.5">
      <c r="A655" s="109"/>
      <c r="B655" s="95" t="s">
        <v>465</v>
      </c>
      <c r="C655" s="11" t="s">
        <v>15</v>
      </c>
      <c r="D655" s="11" t="s">
        <v>57</v>
      </c>
      <c r="E655" s="1" t="s">
        <v>56</v>
      </c>
      <c r="F655" s="1" t="s">
        <v>463</v>
      </c>
      <c r="G655" s="1"/>
      <c r="H655" s="62">
        <f t="shared" si="78"/>
        <v>166.7</v>
      </c>
      <c r="I655" s="62">
        <f t="shared" si="78"/>
        <v>168.5</v>
      </c>
      <c r="J655" s="188">
        <f t="shared" si="78"/>
        <v>170.4</v>
      </c>
    </row>
    <row r="656" spans="1:10" ht="18.75">
      <c r="A656" s="109"/>
      <c r="B656" s="95" t="s">
        <v>211</v>
      </c>
      <c r="C656" s="48" t="s">
        <v>15</v>
      </c>
      <c r="D656" s="48" t="s">
        <v>57</v>
      </c>
      <c r="E656" s="48" t="s">
        <v>56</v>
      </c>
      <c r="F656" s="48" t="s">
        <v>464</v>
      </c>
      <c r="G656" s="11"/>
      <c r="H656" s="62">
        <f>SUM(H657:H657)</f>
        <v>166.7</v>
      </c>
      <c r="I656" s="62">
        <f>SUM(I657:I657)</f>
        <v>168.5</v>
      </c>
      <c r="J656" s="188">
        <f>SUM(J657:J657)</f>
        <v>170.4</v>
      </c>
    </row>
    <row r="657" spans="1:10" ht="36">
      <c r="A657" s="109"/>
      <c r="B657" s="93" t="s">
        <v>199</v>
      </c>
      <c r="C657" s="54" t="s">
        <v>15</v>
      </c>
      <c r="D657" s="54" t="s">
        <v>57</v>
      </c>
      <c r="E657" s="54" t="s">
        <v>56</v>
      </c>
      <c r="F657" s="54" t="s">
        <v>464</v>
      </c>
      <c r="G657" s="54" t="s">
        <v>192</v>
      </c>
      <c r="H657" s="74">
        <f>16.7+150</f>
        <v>166.7</v>
      </c>
      <c r="I657" s="74">
        <f>18.5+150</f>
        <v>168.5</v>
      </c>
      <c r="J657" s="197">
        <f>20.5+150-0.1</f>
        <v>170.4</v>
      </c>
    </row>
    <row r="658" spans="1:10" ht="18.75">
      <c r="A658" s="26"/>
      <c r="B658" s="95" t="s">
        <v>43</v>
      </c>
      <c r="C658" s="11" t="s">
        <v>15</v>
      </c>
      <c r="D658" s="11" t="s">
        <v>52</v>
      </c>
      <c r="E658" s="1"/>
      <c r="F658" s="1"/>
      <c r="G658" s="1"/>
      <c r="H658" s="62">
        <f>H659+H749+H855+H909+H915</f>
        <v>2794310.1</v>
      </c>
      <c r="I658" s="62">
        <f>I659+I749+I855+I909+I915</f>
        <v>2696033.3</v>
      </c>
      <c r="J658" s="188">
        <f>J659+J749+J855+J909+J915</f>
        <v>2670048</v>
      </c>
    </row>
    <row r="659" spans="1:10" ht="18.75">
      <c r="A659" s="26"/>
      <c r="B659" s="96" t="s">
        <v>44</v>
      </c>
      <c r="C659" s="22" t="s">
        <v>15</v>
      </c>
      <c r="D659" s="22" t="s">
        <v>52</v>
      </c>
      <c r="E659" s="23" t="s">
        <v>54</v>
      </c>
      <c r="F659" s="23"/>
      <c r="G659" s="23"/>
      <c r="H659" s="66">
        <f>H660+H718+H743</f>
        <v>1371523.5</v>
      </c>
      <c r="I659" s="66">
        <f>I660+I718</f>
        <v>1340500.4</v>
      </c>
      <c r="J659" s="186">
        <f>J660+J718</f>
        <v>1340500.2999999998</v>
      </c>
    </row>
    <row r="660" spans="1:10" ht="37.5">
      <c r="A660" s="26"/>
      <c r="B660" s="96" t="s">
        <v>160</v>
      </c>
      <c r="C660" s="22" t="s">
        <v>15</v>
      </c>
      <c r="D660" s="22" t="s">
        <v>52</v>
      </c>
      <c r="E660" s="23" t="s">
        <v>54</v>
      </c>
      <c r="F660" s="23" t="s">
        <v>338</v>
      </c>
      <c r="G660" s="23"/>
      <c r="H660" s="66">
        <f>H661+H713</f>
        <v>1369470</v>
      </c>
      <c r="I660" s="66">
        <f>I661+I713</f>
        <v>1338541.2</v>
      </c>
      <c r="J660" s="186">
        <f>J661+J713</f>
        <v>1338541.2999999998</v>
      </c>
    </row>
    <row r="661" spans="1:10" ht="18.75">
      <c r="A661" s="26"/>
      <c r="B661" s="95" t="s">
        <v>294</v>
      </c>
      <c r="C661" s="11" t="s">
        <v>15</v>
      </c>
      <c r="D661" s="11" t="s">
        <v>52</v>
      </c>
      <c r="E661" s="1" t="s">
        <v>54</v>
      </c>
      <c r="F661" s="1" t="s">
        <v>359</v>
      </c>
      <c r="G661" s="1"/>
      <c r="H661" s="62">
        <f>H662+H680+H686+H696+H709</f>
        <v>1367210.1</v>
      </c>
      <c r="I661" s="62">
        <f>I662+I680+I686+I696+I709</f>
        <v>1336281.3</v>
      </c>
      <c r="J661" s="62">
        <f>J662+J680+J686+J696+J709</f>
        <v>1336281.4</v>
      </c>
    </row>
    <row r="662" spans="1:10" ht="37.5">
      <c r="A662" s="26"/>
      <c r="B662" s="95" t="s">
        <v>467</v>
      </c>
      <c r="C662" s="11" t="s">
        <v>15</v>
      </c>
      <c r="D662" s="11" t="s">
        <v>52</v>
      </c>
      <c r="E662" s="1" t="s">
        <v>54</v>
      </c>
      <c r="F662" s="1" t="s">
        <v>466</v>
      </c>
      <c r="G662" s="1"/>
      <c r="H662" s="62">
        <f>H663+H668+H670+H673+H675</f>
        <v>1258846.5</v>
      </c>
      <c r="I662" s="62">
        <f>I663+I668+I670+I673+I675</f>
        <v>1252431.9000000001</v>
      </c>
      <c r="J662" s="188">
        <f>J663+J668+J670+J673+J675</f>
        <v>1252432</v>
      </c>
    </row>
    <row r="663" spans="1:10" ht="37.5">
      <c r="A663" s="26"/>
      <c r="B663" s="108" t="s">
        <v>297</v>
      </c>
      <c r="C663" s="11" t="s">
        <v>15</v>
      </c>
      <c r="D663" s="11" t="s">
        <v>52</v>
      </c>
      <c r="E663" s="1" t="s">
        <v>54</v>
      </c>
      <c r="F663" s="1" t="s">
        <v>468</v>
      </c>
      <c r="G663" s="1"/>
      <c r="H663" s="62">
        <f>H664+H665+H666+H667</f>
        <v>257848.19999999998</v>
      </c>
      <c r="I663" s="62">
        <f>I664+I665+I666+I667</f>
        <v>251433.6</v>
      </c>
      <c r="J663" s="188">
        <f>J664+J665+J666+J667</f>
        <v>251433.69999999998</v>
      </c>
    </row>
    <row r="664" spans="1:10" ht="54">
      <c r="A664" s="26"/>
      <c r="B664" s="92" t="s">
        <v>201</v>
      </c>
      <c r="C664" s="21" t="s">
        <v>15</v>
      </c>
      <c r="D664" s="21" t="s">
        <v>52</v>
      </c>
      <c r="E664" s="21" t="s">
        <v>54</v>
      </c>
      <c r="F664" s="21" t="s">
        <v>468</v>
      </c>
      <c r="G664" s="21" t="s">
        <v>191</v>
      </c>
      <c r="H664" s="68">
        <f>34229.7+0.1+1441.7-0.1</f>
        <v>35671.399999999994</v>
      </c>
      <c r="I664" s="68">
        <v>34229.7</v>
      </c>
      <c r="J664" s="99">
        <f>34229.7+0.1</f>
        <v>34229.799999999996</v>
      </c>
    </row>
    <row r="665" spans="1:10" ht="36">
      <c r="A665" s="26"/>
      <c r="B665" s="147" t="s">
        <v>199</v>
      </c>
      <c r="C665" s="55" t="s">
        <v>15</v>
      </c>
      <c r="D665" s="55" t="s">
        <v>52</v>
      </c>
      <c r="E665" s="55" t="s">
        <v>54</v>
      </c>
      <c r="F665" s="55" t="s">
        <v>468</v>
      </c>
      <c r="G665" s="55" t="s">
        <v>192</v>
      </c>
      <c r="H665" s="90">
        <f>50160.9+3+13.4+1483.4-829.9</f>
        <v>50830.8</v>
      </c>
      <c r="I665" s="90">
        <f>50065.4+398.6</f>
        <v>50464</v>
      </c>
      <c r="J665" s="276">
        <f>50065.4+398.6</f>
        <v>50464</v>
      </c>
    </row>
    <row r="666" spans="1:10" ht="36">
      <c r="A666" s="26"/>
      <c r="B666" s="102" t="s">
        <v>204</v>
      </c>
      <c r="C666" s="20" t="s">
        <v>15</v>
      </c>
      <c r="D666" s="20" t="s">
        <v>52</v>
      </c>
      <c r="E666" s="20" t="s">
        <v>54</v>
      </c>
      <c r="F666" s="20" t="s">
        <v>468</v>
      </c>
      <c r="G666" s="20" t="s">
        <v>196</v>
      </c>
      <c r="H666" s="69">
        <f>164616.6+799.9+3588.4</f>
        <v>169004.9</v>
      </c>
      <c r="I666" s="69">
        <v>164428.8</v>
      </c>
      <c r="J666" s="234">
        <v>164428.8</v>
      </c>
    </row>
    <row r="667" spans="1:10" ht="18">
      <c r="A667" s="26"/>
      <c r="B667" s="151" t="s">
        <v>200</v>
      </c>
      <c r="C667" s="10" t="s">
        <v>15</v>
      </c>
      <c r="D667" s="10" t="s">
        <v>52</v>
      </c>
      <c r="E667" s="10" t="s">
        <v>54</v>
      </c>
      <c r="F667" s="10" t="s">
        <v>468</v>
      </c>
      <c r="G667" s="10" t="s">
        <v>194</v>
      </c>
      <c r="H667" s="79">
        <f>2311.1+30</f>
        <v>2341.1</v>
      </c>
      <c r="I667" s="79">
        <v>2311.1</v>
      </c>
      <c r="J667" s="245">
        <v>2311.1</v>
      </c>
    </row>
    <row r="668" spans="1:10" ht="18.75">
      <c r="A668" s="26"/>
      <c r="B668" s="108" t="s">
        <v>128</v>
      </c>
      <c r="C668" s="11" t="s">
        <v>15</v>
      </c>
      <c r="D668" s="11" t="s">
        <v>52</v>
      </c>
      <c r="E668" s="1" t="s">
        <v>54</v>
      </c>
      <c r="F668" s="1" t="s">
        <v>469</v>
      </c>
      <c r="G668" s="1"/>
      <c r="H668" s="62">
        <f>SUM(H669:H669)</f>
        <v>300</v>
      </c>
      <c r="I668" s="62">
        <f>SUM(I669:I669)</f>
        <v>300</v>
      </c>
      <c r="J668" s="188">
        <f>SUM(J669:J669)</f>
        <v>300</v>
      </c>
    </row>
    <row r="669" spans="1:10" ht="36">
      <c r="A669" s="26"/>
      <c r="B669" s="93" t="s">
        <v>199</v>
      </c>
      <c r="C669" s="9" t="s">
        <v>15</v>
      </c>
      <c r="D669" s="9" t="s">
        <v>52</v>
      </c>
      <c r="E669" s="9" t="s">
        <v>54</v>
      </c>
      <c r="F669" s="9" t="s">
        <v>469</v>
      </c>
      <c r="G669" s="9" t="s">
        <v>192</v>
      </c>
      <c r="H669" s="70">
        <v>300</v>
      </c>
      <c r="I669" s="70">
        <v>300</v>
      </c>
      <c r="J669" s="13">
        <v>300</v>
      </c>
    </row>
    <row r="670" spans="1:10" ht="18.75">
      <c r="A670" s="26"/>
      <c r="B670" s="108" t="s">
        <v>129</v>
      </c>
      <c r="C670" s="11" t="s">
        <v>15</v>
      </c>
      <c r="D670" s="11" t="s">
        <v>52</v>
      </c>
      <c r="E670" s="1" t="s">
        <v>54</v>
      </c>
      <c r="F670" s="1" t="s">
        <v>470</v>
      </c>
      <c r="G670" s="1"/>
      <c r="H670" s="62">
        <f>H671+H672</f>
        <v>119</v>
      </c>
      <c r="I670" s="62">
        <f>I671+I672</f>
        <v>119</v>
      </c>
      <c r="J670" s="62">
        <f>J671+J672</f>
        <v>119</v>
      </c>
    </row>
    <row r="671" spans="1:10" ht="36">
      <c r="A671" s="26"/>
      <c r="B671" s="92" t="s">
        <v>199</v>
      </c>
      <c r="C671" s="21" t="s">
        <v>15</v>
      </c>
      <c r="D671" s="21" t="s">
        <v>52</v>
      </c>
      <c r="E671" s="21" t="s">
        <v>54</v>
      </c>
      <c r="F671" s="21" t="s">
        <v>470</v>
      </c>
      <c r="G671" s="21" t="s">
        <v>192</v>
      </c>
      <c r="H671" s="68">
        <f>119-79.3</f>
        <v>39.7</v>
      </c>
      <c r="I671" s="68">
        <v>119</v>
      </c>
      <c r="J671" s="99">
        <v>119</v>
      </c>
    </row>
    <row r="672" spans="1:10" ht="36">
      <c r="A672" s="26"/>
      <c r="B672" s="93" t="s">
        <v>204</v>
      </c>
      <c r="C672" s="9" t="s">
        <v>15</v>
      </c>
      <c r="D672" s="9" t="s">
        <v>52</v>
      </c>
      <c r="E672" s="9" t="s">
        <v>54</v>
      </c>
      <c r="F672" s="9" t="s">
        <v>470</v>
      </c>
      <c r="G672" s="9" t="s">
        <v>196</v>
      </c>
      <c r="H672" s="70">
        <v>79.3</v>
      </c>
      <c r="I672" s="70">
        <v>0</v>
      </c>
      <c r="J672" s="13">
        <v>0</v>
      </c>
    </row>
    <row r="673" spans="1:10" ht="56.25">
      <c r="A673" s="26"/>
      <c r="B673" s="119" t="s">
        <v>130</v>
      </c>
      <c r="C673" s="29" t="s">
        <v>15</v>
      </c>
      <c r="D673" s="29" t="s">
        <v>52</v>
      </c>
      <c r="E673" s="30" t="s">
        <v>54</v>
      </c>
      <c r="F673" s="30" t="s">
        <v>471</v>
      </c>
      <c r="G673" s="30"/>
      <c r="H673" s="65">
        <f>SUM(H674:H674)</f>
        <v>549.5</v>
      </c>
      <c r="I673" s="65">
        <f>SUM(I674:I674)</f>
        <v>549.5</v>
      </c>
      <c r="J673" s="100">
        <f>SUM(J674:J674)</f>
        <v>549.5</v>
      </c>
    </row>
    <row r="674" spans="1:10" ht="36">
      <c r="A674" s="26"/>
      <c r="B674" s="93" t="s">
        <v>199</v>
      </c>
      <c r="C674" s="9" t="s">
        <v>15</v>
      </c>
      <c r="D674" s="9" t="s">
        <v>52</v>
      </c>
      <c r="E674" s="9" t="s">
        <v>54</v>
      </c>
      <c r="F674" s="9" t="s">
        <v>471</v>
      </c>
      <c r="G674" s="9" t="s">
        <v>192</v>
      </c>
      <c r="H674" s="70">
        <v>549.5</v>
      </c>
      <c r="I674" s="70">
        <v>549.5</v>
      </c>
      <c r="J674" s="13">
        <v>549.5</v>
      </c>
    </row>
    <row r="675" spans="1:10" ht="131.25">
      <c r="A675" s="26"/>
      <c r="B675" s="110" t="s">
        <v>164</v>
      </c>
      <c r="C675" s="11" t="s">
        <v>15</v>
      </c>
      <c r="D675" s="11" t="s">
        <v>52</v>
      </c>
      <c r="E675" s="1" t="s">
        <v>54</v>
      </c>
      <c r="F675" s="1" t="s">
        <v>472</v>
      </c>
      <c r="G675" s="1"/>
      <c r="H675" s="62">
        <f>SUM(H676:H679)</f>
        <v>1000029.8</v>
      </c>
      <c r="I675" s="62">
        <f>SUM(I676:I679)</f>
        <v>1000029.8</v>
      </c>
      <c r="J675" s="188">
        <f>SUM(J676:J679)</f>
        <v>1000029.8</v>
      </c>
    </row>
    <row r="676" spans="1:10" ht="54">
      <c r="A676" s="26"/>
      <c r="B676" s="92" t="s">
        <v>201</v>
      </c>
      <c r="C676" s="21" t="s">
        <v>15</v>
      </c>
      <c r="D676" s="21" t="s">
        <v>52</v>
      </c>
      <c r="E676" s="21" t="s">
        <v>54</v>
      </c>
      <c r="F676" s="21" t="s">
        <v>472</v>
      </c>
      <c r="G676" s="21" t="s">
        <v>191</v>
      </c>
      <c r="H676" s="68">
        <f>323148.1-1.6</f>
        <v>323146.5</v>
      </c>
      <c r="I676" s="68">
        <v>323148.1</v>
      </c>
      <c r="J676" s="99">
        <v>323148.1</v>
      </c>
    </row>
    <row r="677" spans="1:10" ht="36">
      <c r="A677" s="26"/>
      <c r="B677" s="102" t="s">
        <v>199</v>
      </c>
      <c r="C677" s="20" t="s">
        <v>15</v>
      </c>
      <c r="D677" s="20" t="s">
        <v>52</v>
      </c>
      <c r="E677" s="20" t="s">
        <v>54</v>
      </c>
      <c r="F677" s="20" t="s">
        <v>472</v>
      </c>
      <c r="G677" s="20" t="s">
        <v>192</v>
      </c>
      <c r="H677" s="69">
        <v>16011.4</v>
      </c>
      <c r="I677" s="69">
        <v>16011.4</v>
      </c>
      <c r="J677" s="234">
        <v>16011.4</v>
      </c>
    </row>
    <row r="678" spans="1:10" ht="18">
      <c r="A678" s="26"/>
      <c r="B678" s="147" t="s">
        <v>205</v>
      </c>
      <c r="C678" s="20" t="s">
        <v>15</v>
      </c>
      <c r="D678" s="20" t="s">
        <v>52</v>
      </c>
      <c r="E678" s="20" t="s">
        <v>54</v>
      </c>
      <c r="F678" s="20" t="s">
        <v>472</v>
      </c>
      <c r="G678" s="20" t="s">
        <v>193</v>
      </c>
      <c r="H678" s="90">
        <v>1.6</v>
      </c>
      <c r="I678" s="90">
        <v>0</v>
      </c>
      <c r="J678" s="276">
        <v>0</v>
      </c>
    </row>
    <row r="679" spans="1:10" ht="36">
      <c r="A679" s="26"/>
      <c r="B679" s="93" t="s">
        <v>204</v>
      </c>
      <c r="C679" s="9" t="s">
        <v>15</v>
      </c>
      <c r="D679" s="9" t="s">
        <v>52</v>
      </c>
      <c r="E679" s="9" t="s">
        <v>54</v>
      </c>
      <c r="F679" s="9" t="s">
        <v>472</v>
      </c>
      <c r="G679" s="9" t="s">
        <v>196</v>
      </c>
      <c r="H679" s="70">
        <v>660870.3</v>
      </c>
      <c r="I679" s="70">
        <v>660870.3</v>
      </c>
      <c r="J679" s="13">
        <v>660870.3</v>
      </c>
    </row>
    <row r="680" spans="1:10" ht="37.5">
      <c r="A680" s="26"/>
      <c r="B680" s="95" t="s">
        <v>475</v>
      </c>
      <c r="C680" s="11" t="s">
        <v>15</v>
      </c>
      <c r="D680" s="11" t="s">
        <v>52</v>
      </c>
      <c r="E680" s="1" t="s">
        <v>54</v>
      </c>
      <c r="F680" s="1" t="s">
        <v>473</v>
      </c>
      <c r="G680" s="1"/>
      <c r="H680" s="62">
        <f>H681</f>
        <v>45073.1</v>
      </c>
      <c r="I680" s="62">
        <f>I681</f>
        <v>42949.50000000001</v>
      </c>
      <c r="J680" s="188">
        <f>J681</f>
        <v>42949.50000000001</v>
      </c>
    </row>
    <row r="681" spans="1:10" ht="37.5">
      <c r="A681" s="26"/>
      <c r="B681" s="108" t="s">
        <v>297</v>
      </c>
      <c r="C681" s="11" t="s">
        <v>15</v>
      </c>
      <c r="D681" s="11" t="s">
        <v>52</v>
      </c>
      <c r="E681" s="1" t="s">
        <v>54</v>
      </c>
      <c r="F681" s="1" t="s">
        <v>474</v>
      </c>
      <c r="G681" s="1"/>
      <c r="H681" s="62">
        <f>H682+H683+H684+H685</f>
        <v>45073.1</v>
      </c>
      <c r="I681" s="62">
        <f>I682+I683+I684+I685</f>
        <v>42949.50000000001</v>
      </c>
      <c r="J681" s="188">
        <f>J682+J683+J684+J685</f>
        <v>42949.50000000001</v>
      </c>
    </row>
    <row r="682" spans="1:10" ht="54">
      <c r="A682" s="26"/>
      <c r="B682" s="92" t="s">
        <v>201</v>
      </c>
      <c r="C682" s="21" t="s">
        <v>15</v>
      </c>
      <c r="D682" s="21" t="s">
        <v>52</v>
      </c>
      <c r="E682" s="21" t="s">
        <v>54</v>
      </c>
      <c r="F682" s="21" t="s">
        <v>474</v>
      </c>
      <c r="G682" s="21" t="s">
        <v>191</v>
      </c>
      <c r="H682" s="85">
        <f>16604.1+507</f>
        <v>17111.1</v>
      </c>
      <c r="I682" s="85">
        <v>16604.1</v>
      </c>
      <c r="J682" s="228">
        <v>16604.1</v>
      </c>
    </row>
    <row r="683" spans="1:10" ht="36">
      <c r="A683" s="26"/>
      <c r="B683" s="147" t="s">
        <v>199</v>
      </c>
      <c r="C683" s="55" t="s">
        <v>15</v>
      </c>
      <c r="D683" s="55" t="s">
        <v>52</v>
      </c>
      <c r="E683" s="55" t="s">
        <v>54</v>
      </c>
      <c r="F683" s="55" t="s">
        <v>474</v>
      </c>
      <c r="G683" s="55" t="s">
        <v>192</v>
      </c>
      <c r="H683" s="89">
        <f>20788.3+134.1+1284.7+53.2</f>
        <v>22260.3</v>
      </c>
      <c r="I683" s="89">
        <v>20753.7</v>
      </c>
      <c r="J683" s="274">
        <v>20753.7</v>
      </c>
    </row>
    <row r="684" spans="1:10" ht="36">
      <c r="A684" s="26"/>
      <c r="B684" s="102" t="s">
        <v>204</v>
      </c>
      <c r="C684" s="20" t="s">
        <v>15</v>
      </c>
      <c r="D684" s="20" t="s">
        <v>52</v>
      </c>
      <c r="E684" s="20" t="s">
        <v>54</v>
      </c>
      <c r="F684" s="20" t="s">
        <v>474</v>
      </c>
      <c r="G684" s="20" t="s">
        <v>196</v>
      </c>
      <c r="H684" s="82">
        <f>5063+106.9</f>
        <v>5169.9</v>
      </c>
      <c r="I684" s="82">
        <v>5059.9</v>
      </c>
      <c r="J684" s="259">
        <v>5059.9</v>
      </c>
    </row>
    <row r="685" spans="1:10" ht="18">
      <c r="A685" s="26"/>
      <c r="B685" s="93" t="s">
        <v>200</v>
      </c>
      <c r="C685" s="9" t="s">
        <v>15</v>
      </c>
      <c r="D685" s="9" t="s">
        <v>52</v>
      </c>
      <c r="E685" s="9" t="s">
        <v>54</v>
      </c>
      <c r="F685" s="9" t="s">
        <v>474</v>
      </c>
      <c r="G685" s="9" t="s">
        <v>194</v>
      </c>
      <c r="H685" s="74">
        <v>531.8</v>
      </c>
      <c r="I685" s="74">
        <v>531.8</v>
      </c>
      <c r="J685" s="197">
        <v>531.8</v>
      </c>
    </row>
    <row r="686" spans="1:10" ht="37.5">
      <c r="A686" s="26"/>
      <c r="B686" s="95" t="s">
        <v>478</v>
      </c>
      <c r="C686" s="11" t="s">
        <v>15</v>
      </c>
      <c r="D686" s="11" t="s">
        <v>52</v>
      </c>
      <c r="E686" s="1" t="s">
        <v>54</v>
      </c>
      <c r="F686" s="1" t="s">
        <v>477</v>
      </c>
      <c r="G686" s="1"/>
      <c r="H686" s="62">
        <f>H690+H687+H693</f>
        <v>3566.9</v>
      </c>
      <c r="I686" s="62">
        <f>I690+I687+I693</f>
        <v>674.2</v>
      </c>
      <c r="J686" s="62">
        <f>J690+J687+J693</f>
        <v>674.2</v>
      </c>
    </row>
    <row r="687" spans="1:10" ht="37.5">
      <c r="A687" s="26"/>
      <c r="B687" s="95" t="s">
        <v>188</v>
      </c>
      <c r="C687" s="11" t="s">
        <v>15</v>
      </c>
      <c r="D687" s="11" t="s">
        <v>52</v>
      </c>
      <c r="E687" s="1" t="s">
        <v>54</v>
      </c>
      <c r="F687" s="1" t="s">
        <v>526</v>
      </c>
      <c r="G687" s="1"/>
      <c r="H687" s="62">
        <f>H688+H689</f>
        <v>881.0999999999999</v>
      </c>
      <c r="I687" s="62">
        <f>I688+I689</f>
        <v>0</v>
      </c>
      <c r="J687" s="188">
        <f>J688+J689</f>
        <v>0</v>
      </c>
    </row>
    <row r="688" spans="1:10" ht="36">
      <c r="A688" s="26"/>
      <c r="B688" s="92" t="s">
        <v>199</v>
      </c>
      <c r="C688" s="21" t="s">
        <v>15</v>
      </c>
      <c r="D688" s="21" t="s">
        <v>52</v>
      </c>
      <c r="E688" s="21" t="s">
        <v>54</v>
      </c>
      <c r="F688" s="21" t="s">
        <v>526</v>
      </c>
      <c r="G688" s="21" t="s">
        <v>192</v>
      </c>
      <c r="H688" s="68">
        <f>214.9+99.3-62.8</f>
        <v>251.39999999999998</v>
      </c>
      <c r="I688" s="68">
        <v>0</v>
      </c>
      <c r="J688" s="99">
        <v>0</v>
      </c>
    </row>
    <row r="689" spans="1:10" ht="36">
      <c r="A689" s="26"/>
      <c r="B689" s="93" t="s">
        <v>204</v>
      </c>
      <c r="C689" s="9" t="s">
        <v>15</v>
      </c>
      <c r="D689" s="9" t="s">
        <v>52</v>
      </c>
      <c r="E689" s="9" t="s">
        <v>54</v>
      </c>
      <c r="F689" s="9" t="s">
        <v>526</v>
      </c>
      <c r="G689" s="9" t="s">
        <v>196</v>
      </c>
      <c r="H689" s="70">
        <f>311.2+120.1+198.4</f>
        <v>629.6999999999999</v>
      </c>
      <c r="I689" s="70">
        <v>0</v>
      </c>
      <c r="J689" s="13">
        <v>0</v>
      </c>
    </row>
    <row r="690" spans="1:10" ht="37.5">
      <c r="A690" s="26"/>
      <c r="B690" s="110" t="s">
        <v>131</v>
      </c>
      <c r="C690" s="11" t="s">
        <v>15</v>
      </c>
      <c r="D690" s="11" t="s">
        <v>52</v>
      </c>
      <c r="E690" s="1" t="s">
        <v>54</v>
      </c>
      <c r="F690" s="1" t="s">
        <v>476</v>
      </c>
      <c r="G690" s="1"/>
      <c r="H690" s="62">
        <f>SUM(H691:H692)</f>
        <v>674.2</v>
      </c>
      <c r="I690" s="62">
        <f>SUM(I691:I692)</f>
        <v>674.2</v>
      </c>
      <c r="J690" s="188">
        <f>SUM(J691:J692)</f>
        <v>674.2</v>
      </c>
    </row>
    <row r="691" spans="1:10" ht="36">
      <c r="A691" s="26"/>
      <c r="B691" s="148" t="s">
        <v>199</v>
      </c>
      <c r="C691" s="21" t="s">
        <v>15</v>
      </c>
      <c r="D691" s="21" t="s">
        <v>52</v>
      </c>
      <c r="E691" s="21" t="s">
        <v>54</v>
      </c>
      <c r="F691" s="21" t="s">
        <v>476</v>
      </c>
      <c r="G691" s="21" t="s">
        <v>192</v>
      </c>
      <c r="H691" s="85">
        <v>305.7</v>
      </c>
      <c r="I691" s="85">
        <v>305.7</v>
      </c>
      <c r="J691" s="228">
        <v>305.7</v>
      </c>
    </row>
    <row r="692" spans="1:10" ht="36">
      <c r="A692" s="26"/>
      <c r="B692" s="93" t="s">
        <v>204</v>
      </c>
      <c r="C692" s="9" t="s">
        <v>15</v>
      </c>
      <c r="D692" s="9" t="s">
        <v>52</v>
      </c>
      <c r="E692" s="9" t="s">
        <v>54</v>
      </c>
      <c r="F692" s="9" t="s">
        <v>476</v>
      </c>
      <c r="G692" s="9" t="s">
        <v>196</v>
      </c>
      <c r="H692" s="74">
        <v>368.5</v>
      </c>
      <c r="I692" s="74">
        <v>368.5</v>
      </c>
      <c r="J692" s="197">
        <v>368.5</v>
      </c>
    </row>
    <row r="693" spans="1:10" ht="24" customHeight="1">
      <c r="A693" s="26"/>
      <c r="B693" s="96" t="s">
        <v>148</v>
      </c>
      <c r="C693" s="22" t="s">
        <v>15</v>
      </c>
      <c r="D693" s="22" t="s">
        <v>52</v>
      </c>
      <c r="E693" s="23" t="s">
        <v>54</v>
      </c>
      <c r="F693" s="23" t="s">
        <v>527</v>
      </c>
      <c r="G693" s="28"/>
      <c r="H693" s="71">
        <f>H694+H695</f>
        <v>2011.6000000000001</v>
      </c>
      <c r="I693" s="71">
        <f>I694+I695</f>
        <v>0</v>
      </c>
      <c r="J693" s="71">
        <f>J694+J695</f>
        <v>0</v>
      </c>
    </row>
    <row r="694" spans="1:10" ht="36">
      <c r="A694" s="26"/>
      <c r="B694" s="92" t="s">
        <v>199</v>
      </c>
      <c r="C694" s="21" t="s">
        <v>15</v>
      </c>
      <c r="D694" s="21" t="s">
        <v>52</v>
      </c>
      <c r="E694" s="21" t="s">
        <v>54</v>
      </c>
      <c r="F694" s="21" t="s">
        <v>527</v>
      </c>
      <c r="G694" s="21" t="s">
        <v>192</v>
      </c>
      <c r="H694" s="85">
        <f>1266.9+43.5</f>
        <v>1310.4</v>
      </c>
      <c r="I694" s="85">
        <v>0</v>
      </c>
      <c r="J694" s="228">
        <v>0</v>
      </c>
    </row>
    <row r="695" spans="1:10" ht="36">
      <c r="A695" s="26"/>
      <c r="B695" s="93" t="s">
        <v>204</v>
      </c>
      <c r="C695" s="9" t="s">
        <v>15</v>
      </c>
      <c r="D695" s="9" t="s">
        <v>52</v>
      </c>
      <c r="E695" s="9" t="s">
        <v>54</v>
      </c>
      <c r="F695" s="9" t="s">
        <v>527</v>
      </c>
      <c r="G695" s="9" t="s">
        <v>196</v>
      </c>
      <c r="H695" s="74">
        <f>511.8+189.4</f>
        <v>701.2</v>
      </c>
      <c r="I695" s="74">
        <v>0</v>
      </c>
      <c r="J695" s="197">
        <v>0</v>
      </c>
    </row>
    <row r="696" spans="1:10" ht="37.5">
      <c r="A696" s="26"/>
      <c r="B696" s="95" t="s">
        <v>481</v>
      </c>
      <c r="C696" s="11" t="s">
        <v>15</v>
      </c>
      <c r="D696" s="11" t="s">
        <v>52</v>
      </c>
      <c r="E696" s="1" t="s">
        <v>54</v>
      </c>
      <c r="F696" s="1" t="s">
        <v>479</v>
      </c>
      <c r="G696" s="1"/>
      <c r="H696" s="62">
        <f>H697+H700+H706+H703</f>
        <v>37618.3</v>
      </c>
      <c r="I696" s="62">
        <f>I697+I700+I706</f>
        <v>31813.699999999997</v>
      </c>
      <c r="J696" s="188">
        <f>J697+J700+J706</f>
        <v>31813.699999999997</v>
      </c>
    </row>
    <row r="697" spans="1:10" ht="37.5">
      <c r="A697" s="26"/>
      <c r="B697" s="110" t="s">
        <v>132</v>
      </c>
      <c r="C697" s="22" t="s">
        <v>15</v>
      </c>
      <c r="D697" s="22" t="s">
        <v>52</v>
      </c>
      <c r="E697" s="23" t="s">
        <v>54</v>
      </c>
      <c r="F697" s="1" t="s">
        <v>480</v>
      </c>
      <c r="G697" s="23"/>
      <c r="H697" s="66">
        <f>H698+H699</f>
        <v>1795.7</v>
      </c>
      <c r="I697" s="66">
        <f>I698+I699</f>
        <v>1795.7</v>
      </c>
      <c r="J697" s="186">
        <f>J698+J699</f>
        <v>1795.7</v>
      </c>
    </row>
    <row r="698" spans="1:10" ht="36">
      <c r="A698" s="26"/>
      <c r="B698" s="92" t="s">
        <v>199</v>
      </c>
      <c r="C698" s="21" t="s">
        <v>15</v>
      </c>
      <c r="D698" s="21" t="s">
        <v>52</v>
      </c>
      <c r="E698" s="21" t="s">
        <v>54</v>
      </c>
      <c r="F698" s="21" t="s">
        <v>480</v>
      </c>
      <c r="G698" s="21" t="s">
        <v>192</v>
      </c>
      <c r="H698" s="85">
        <v>764.8</v>
      </c>
      <c r="I698" s="85">
        <v>764.8</v>
      </c>
      <c r="J698" s="228">
        <v>764.8</v>
      </c>
    </row>
    <row r="699" spans="1:10" ht="36">
      <c r="A699" s="26"/>
      <c r="B699" s="93" t="s">
        <v>204</v>
      </c>
      <c r="C699" s="9" t="s">
        <v>15</v>
      </c>
      <c r="D699" s="9" t="s">
        <v>52</v>
      </c>
      <c r="E699" s="9" t="s">
        <v>54</v>
      </c>
      <c r="F699" s="9" t="s">
        <v>480</v>
      </c>
      <c r="G699" s="9" t="s">
        <v>196</v>
      </c>
      <c r="H699" s="74">
        <v>1030.9</v>
      </c>
      <c r="I699" s="74">
        <v>1030.9</v>
      </c>
      <c r="J699" s="197">
        <v>1030.9</v>
      </c>
    </row>
    <row r="700" spans="1:10" ht="37.5">
      <c r="A700" s="26"/>
      <c r="B700" s="110" t="s">
        <v>133</v>
      </c>
      <c r="C700" s="22" t="s">
        <v>15</v>
      </c>
      <c r="D700" s="22" t="s">
        <v>52</v>
      </c>
      <c r="E700" s="23" t="s">
        <v>54</v>
      </c>
      <c r="F700" s="1" t="s">
        <v>482</v>
      </c>
      <c r="G700" s="23"/>
      <c r="H700" s="66">
        <f>SUM(H701:H702)</f>
        <v>2689.2</v>
      </c>
      <c r="I700" s="66">
        <f>SUM(I701:I702)</f>
        <v>2689.2</v>
      </c>
      <c r="J700" s="186">
        <f>SUM(J701:J702)</f>
        <v>2689.2</v>
      </c>
    </row>
    <row r="701" spans="1:10" ht="36">
      <c r="A701" s="26"/>
      <c r="B701" s="92" t="s">
        <v>199</v>
      </c>
      <c r="C701" s="21" t="s">
        <v>15</v>
      </c>
      <c r="D701" s="21" t="s">
        <v>52</v>
      </c>
      <c r="E701" s="21" t="s">
        <v>54</v>
      </c>
      <c r="F701" s="21" t="s">
        <v>482</v>
      </c>
      <c r="G701" s="21" t="s">
        <v>192</v>
      </c>
      <c r="H701" s="85">
        <v>1195.2</v>
      </c>
      <c r="I701" s="85">
        <v>1195.2</v>
      </c>
      <c r="J701" s="228">
        <v>1195.2</v>
      </c>
    </row>
    <row r="702" spans="1:10" ht="36">
      <c r="A702" s="26"/>
      <c r="B702" s="93" t="s">
        <v>204</v>
      </c>
      <c r="C702" s="9" t="s">
        <v>15</v>
      </c>
      <c r="D702" s="9" t="s">
        <v>52</v>
      </c>
      <c r="E702" s="9" t="s">
        <v>54</v>
      </c>
      <c r="F702" s="9" t="s">
        <v>482</v>
      </c>
      <c r="G702" s="9" t="s">
        <v>196</v>
      </c>
      <c r="H702" s="74">
        <v>1494</v>
      </c>
      <c r="I702" s="74">
        <v>1494</v>
      </c>
      <c r="J702" s="197">
        <v>1494</v>
      </c>
    </row>
    <row r="703" spans="1:10" ht="37.5">
      <c r="A703" s="26"/>
      <c r="B703" s="96" t="s">
        <v>740</v>
      </c>
      <c r="C703" s="22" t="s">
        <v>15</v>
      </c>
      <c r="D703" s="22" t="s">
        <v>52</v>
      </c>
      <c r="E703" s="23" t="s">
        <v>54</v>
      </c>
      <c r="F703" s="23" t="s">
        <v>530</v>
      </c>
      <c r="G703" s="23"/>
      <c r="H703" s="62">
        <f>H704+H705</f>
        <v>6742.099999999999</v>
      </c>
      <c r="I703" s="62">
        <f>I704+I705</f>
        <v>0</v>
      </c>
      <c r="J703" s="188">
        <f>J704+J705</f>
        <v>0</v>
      </c>
    </row>
    <row r="704" spans="1:10" ht="36">
      <c r="A704" s="26"/>
      <c r="B704" s="92" t="s">
        <v>199</v>
      </c>
      <c r="C704" s="21" t="s">
        <v>15</v>
      </c>
      <c r="D704" s="21" t="s">
        <v>52</v>
      </c>
      <c r="E704" s="21" t="s">
        <v>54</v>
      </c>
      <c r="F704" s="21" t="s">
        <v>530</v>
      </c>
      <c r="G704" s="21" t="s">
        <v>192</v>
      </c>
      <c r="H704" s="68">
        <f>216.3+45.4+752.8+62.7</f>
        <v>1077.2</v>
      </c>
      <c r="I704" s="68">
        <v>0</v>
      </c>
      <c r="J704" s="99">
        <v>0</v>
      </c>
    </row>
    <row r="705" spans="1:10" ht="36">
      <c r="A705" s="26"/>
      <c r="B705" s="151" t="s">
        <v>204</v>
      </c>
      <c r="C705" s="10" t="s">
        <v>15</v>
      </c>
      <c r="D705" s="10" t="s">
        <v>52</v>
      </c>
      <c r="E705" s="10" t="s">
        <v>54</v>
      </c>
      <c r="F705" s="10" t="s">
        <v>530</v>
      </c>
      <c r="G705" s="10" t="s">
        <v>196</v>
      </c>
      <c r="H705" s="120">
        <f>463.9+296.8+6168.6-1264.4</f>
        <v>5664.9</v>
      </c>
      <c r="I705" s="120">
        <v>0</v>
      </c>
      <c r="J705" s="266">
        <v>0</v>
      </c>
    </row>
    <row r="706" spans="1:10" ht="56.25">
      <c r="A706" s="26"/>
      <c r="B706" s="110" t="s">
        <v>557</v>
      </c>
      <c r="C706" s="22" t="s">
        <v>15</v>
      </c>
      <c r="D706" s="22" t="s">
        <v>52</v>
      </c>
      <c r="E706" s="23" t="s">
        <v>54</v>
      </c>
      <c r="F706" s="1" t="s">
        <v>483</v>
      </c>
      <c r="G706" s="23"/>
      <c r="H706" s="66">
        <f>H708+H707</f>
        <v>26391.300000000003</v>
      </c>
      <c r="I706" s="66">
        <f>I708+I707</f>
        <v>27328.8</v>
      </c>
      <c r="J706" s="186">
        <f>J708+J707</f>
        <v>27328.8</v>
      </c>
    </row>
    <row r="707" spans="1:10" ht="36">
      <c r="A707" s="26"/>
      <c r="B707" s="92" t="s">
        <v>199</v>
      </c>
      <c r="C707" s="21" t="s">
        <v>15</v>
      </c>
      <c r="D707" s="21" t="s">
        <v>52</v>
      </c>
      <c r="E707" s="21" t="s">
        <v>54</v>
      </c>
      <c r="F707" s="21" t="s">
        <v>483</v>
      </c>
      <c r="G707" s="21" t="s">
        <v>192</v>
      </c>
      <c r="H707" s="68">
        <v>11569.4</v>
      </c>
      <c r="I707" s="68">
        <f>11569.4+410.3</f>
        <v>11979.699999999999</v>
      </c>
      <c r="J707" s="99">
        <f>11569.4+410.3</f>
        <v>11979.699999999999</v>
      </c>
    </row>
    <row r="708" spans="1:10" ht="36">
      <c r="A708" s="26"/>
      <c r="B708" s="93" t="s">
        <v>204</v>
      </c>
      <c r="C708" s="9" t="s">
        <v>15</v>
      </c>
      <c r="D708" s="9" t="s">
        <v>52</v>
      </c>
      <c r="E708" s="9" t="s">
        <v>54</v>
      </c>
      <c r="F708" s="9" t="s">
        <v>483</v>
      </c>
      <c r="G708" s="9" t="s">
        <v>196</v>
      </c>
      <c r="H708" s="70">
        <f>14822.2-0.3</f>
        <v>14821.900000000001</v>
      </c>
      <c r="I708" s="70">
        <f>14822.2+526.9</f>
        <v>15349.1</v>
      </c>
      <c r="J708" s="13">
        <f>14822.2+526.9</f>
        <v>15349.1</v>
      </c>
    </row>
    <row r="709" spans="1:10" ht="56.25">
      <c r="A709" s="26"/>
      <c r="B709" s="95" t="s">
        <v>485</v>
      </c>
      <c r="C709" s="11" t="s">
        <v>15</v>
      </c>
      <c r="D709" s="11" t="s">
        <v>52</v>
      </c>
      <c r="E709" s="1" t="s">
        <v>54</v>
      </c>
      <c r="F709" s="1" t="s">
        <v>484</v>
      </c>
      <c r="G709" s="1"/>
      <c r="H709" s="62">
        <f>H710</f>
        <v>22105.3</v>
      </c>
      <c r="I709" s="62">
        <f>I710</f>
        <v>8411.999999999998</v>
      </c>
      <c r="J709" s="188">
        <f>J710</f>
        <v>8411.999999999998</v>
      </c>
    </row>
    <row r="710" spans="1:10" ht="37.5">
      <c r="A710" s="26"/>
      <c r="B710" s="137" t="s">
        <v>272</v>
      </c>
      <c r="C710" s="11" t="s">
        <v>15</v>
      </c>
      <c r="D710" s="11" t="s">
        <v>52</v>
      </c>
      <c r="E710" s="1" t="s">
        <v>54</v>
      </c>
      <c r="F710" s="1" t="s">
        <v>486</v>
      </c>
      <c r="G710" s="1"/>
      <c r="H710" s="62">
        <f>SUM(H711:H712)</f>
        <v>22105.3</v>
      </c>
      <c r="I710" s="62">
        <f>SUM(I711:I712)</f>
        <v>8411.999999999998</v>
      </c>
      <c r="J710" s="62">
        <f>SUM(J711:J712)</f>
        <v>8411.999999999998</v>
      </c>
    </row>
    <row r="711" spans="1:10" ht="36">
      <c r="A711" s="26"/>
      <c r="B711" s="92" t="s">
        <v>199</v>
      </c>
      <c r="C711" s="21" t="s">
        <v>15</v>
      </c>
      <c r="D711" s="21" t="s">
        <v>52</v>
      </c>
      <c r="E711" s="21" t="s">
        <v>54</v>
      </c>
      <c r="F711" s="21" t="s">
        <v>486</v>
      </c>
      <c r="G711" s="21" t="s">
        <v>192</v>
      </c>
      <c r="H711" s="68">
        <f>56.4+10000-707.2+0.3-6071.6-184.1</f>
        <v>3093.799999999998</v>
      </c>
      <c r="I711" s="68">
        <f>56.4+10000-707.2-937.2</f>
        <v>8411.999999999998</v>
      </c>
      <c r="J711" s="99">
        <f>56.4+10000-707.2-937.2</f>
        <v>8411.999999999998</v>
      </c>
    </row>
    <row r="712" spans="1:10" ht="36">
      <c r="A712" s="26"/>
      <c r="B712" s="93" t="s">
        <v>204</v>
      </c>
      <c r="C712" s="9" t="s">
        <v>15</v>
      </c>
      <c r="D712" s="9" t="s">
        <v>52</v>
      </c>
      <c r="E712" s="9" t="s">
        <v>54</v>
      </c>
      <c r="F712" s="9" t="s">
        <v>486</v>
      </c>
      <c r="G712" s="9" t="s">
        <v>196</v>
      </c>
      <c r="H712" s="70">
        <f>4898.3+14113.2</f>
        <v>19011.5</v>
      </c>
      <c r="I712" s="70">
        <v>0</v>
      </c>
      <c r="J712" s="13">
        <v>0</v>
      </c>
    </row>
    <row r="713" spans="1:10" ht="18.75">
      <c r="A713" s="26"/>
      <c r="B713" s="95" t="s">
        <v>618</v>
      </c>
      <c r="C713" s="11" t="s">
        <v>15</v>
      </c>
      <c r="D713" s="11" t="s">
        <v>52</v>
      </c>
      <c r="E713" s="1" t="s">
        <v>54</v>
      </c>
      <c r="F713" s="1" t="s">
        <v>617</v>
      </c>
      <c r="G713" s="1"/>
      <c r="H713" s="62">
        <f aca="true" t="shared" si="79" ref="H713:J714">H714</f>
        <v>2259.9</v>
      </c>
      <c r="I713" s="62">
        <f t="shared" si="79"/>
        <v>2259.9</v>
      </c>
      <c r="J713" s="188">
        <f t="shared" si="79"/>
        <v>2259.9</v>
      </c>
    </row>
    <row r="714" spans="1:10" ht="37.5">
      <c r="A714" s="26"/>
      <c r="B714" s="95" t="s">
        <v>620</v>
      </c>
      <c r="C714" s="11" t="s">
        <v>15</v>
      </c>
      <c r="D714" s="11" t="s">
        <v>52</v>
      </c>
      <c r="E714" s="1" t="s">
        <v>54</v>
      </c>
      <c r="F714" s="1" t="s">
        <v>619</v>
      </c>
      <c r="G714" s="1"/>
      <c r="H714" s="62">
        <f t="shared" si="79"/>
        <v>2259.9</v>
      </c>
      <c r="I714" s="62">
        <f t="shared" si="79"/>
        <v>2259.9</v>
      </c>
      <c r="J714" s="188">
        <f t="shared" si="79"/>
        <v>2259.9</v>
      </c>
    </row>
    <row r="715" spans="1:10" ht="56.25">
      <c r="A715" s="26"/>
      <c r="B715" s="95" t="s">
        <v>558</v>
      </c>
      <c r="C715" s="11" t="s">
        <v>15</v>
      </c>
      <c r="D715" s="11" t="s">
        <v>52</v>
      </c>
      <c r="E715" s="1" t="s">
        <v>54</v>
      </c>
      <c r="F715" s="1" t="s">
        <v>621</v>
      </c>
      <c r="G715" s="12"/>
      <c r="H715" s="62">
        <f>SUM(H716:H717)</f>
        <v>2259.9</v>
      </c>
      <c r="I715" s="62">
        <f>SUM(I716:I717)</f>
        <v>2259.9</v>
      </c>
      <c r="J715" s="62">
        <f>SUM(J716:J717)</f>
        <v>2259.9</v>
      </c>
    </row>
    <row r="716" spans="1:10" ht="36">
      <c r="A716" s="26"/>
      <c r="B716" s="92" t="s">
        <v>199</v>
      </c>
      <c r="C716" s="21" t="s">
        <v>15</v>
      </c>
      <c r="D716" s="21" t="s">
        <v>52</v>
      </c>
      <c r="E716" s="21" t="s">
        <v>54</v>
      </c>
      <c r="F716" s="21" t="s">
        <v>621</v>
      </c>
      <c r="G716" s="21" t="s">
        <v>192</v>
      </c>
      <c r="H716" s="68">
        <f>227.3-1.3+2033.9-1586</f>
        <v>673.9000000000001</v>
      </c>
      <c r="I716" s="68">
        <f>250.1-1.5+2011.3</f>
        <v>2259.9</v>
      </c>
      <c r="J716" s="99">
        <f>250.1+21.1+1988.7</f>
        <v>2259.9</v>
      </c>
    </row>
    <row r="717" spans="1:10" ht="36">
      <c r="A717" s="26"/>
      <c r="B717" s="93" t="s">
        <v>204</v>
      </c>
      <c r="C717" s="9" t="s">
        <v>15</v>
      </c>
      <c r="D717" s="9" t="s">
        <v>52</v>
      </c>
      <c r="E717" s="9" t="s">
        <v>54</v>
      </c>
      <c r="F717" s="9" t="s">
        <v>621</v>
      </c>
      <c r="G717" s="9" t="s">
        <v>196</v>
      </c>
      <c r="H717" s="70">
        <v>1586</v>
      </c>
      <c r="I717" s="70">
        <v>0</v>
      </c>
      <c r="J717" s="13">
        <v>0</v>
      </c>
    </row>
    <row r="718" spans="1:10" ht="56.25">
      <c r="A718" s="26"/>
      <c r="B718" s="108" t="s">
        <v>13</v>
      </c>
      <c r="C718" s="11" t="s">
        <v>15</v>
      </c>
      <c r="D718" s="11" t="s">
        <v>52</v>
      </c>
      <c r="E718" s="1" t="s">
        <v>54</v>
      </c>
      <c r="F718" s="1" t="s">
        <v>414</v>
      </c>
      <c r="G718" s="1"/>
      <c r="H718" s="62">
        <f>H719</f>
        <v>1853.5</v>
      </c>
      <c r="I718" s="62">
        <f>I719</f>
        <v>1959.2</v>
      </c>
      <c r="J718" s="188">
        <f>J719</f>
        <v>1959</v>
      </c>
    </row>
    <row r="719" spans="1:10" ht="18.75">
      <c r="A719" s="26"/>
      <c r="B719" s="110" t="s">
        <v>294</v>
      </c>
      <c r="C719" s="22" t="s">
        <v>15</v>
      </c>
      <c r="D719" s="22" t="s">
        <v>52</v>
      </c>
      <c r="E719" s="23" t="s">
        <v>54</v>
      </c>
      <c r="F719" s="23" t="s">
        <v>416</v>
      </c>
      <c r="G719" s="23"/>
      <c r="H719" s="66">
        <f>H720+H726+H730+H733+H739</f>
        <v>1853.5</v>
      </c>
      <c r="I719" s="66">
        <f>I720+I726+I730+I733+I739</f>
        <v>1959.2</v>
      </c>
      <c r="J719" s="186">
        <f>J720+J726+J730+J733+J739</f>
        <v>1959</v>
      </c>
    </row>
    <row r="720" spans="1:10" ht="56.25">
      <c r="A720" s="26"/>
      <c r="B720" s="110" t="s">
        <v>683</v>
      </c>
      <c r="C720" s="22" t="s">
        <v>15</v>
      </c>
      <c r="D720" s="22" t="s">
        <v>52</v>
      </c>
      <c r="E720" s="23" t="s">
        <v>54</v>
      </c>
      <c r="F720" s="23" t="s">
        <v>488</v>
      </c>
      <c r="G720" s="23"/>
      <c r="H720" s="66">
        <f>H721+H724</f>
        <v>337.5</v>
      </c>
      <c r="I720" s="66">
        <f>I721+I724</f>
        <v>212.2</v>
      </c>
      <c r="J720" s="186">
        <f>J721+J724</f>
        <v>212</v>
      </c>
    </row>
    <row r="721" spans="1:10" ht="37.5">
      <c r="A721" s="26"/>
      <c r="B721" s="128" t="s">
        <v>490</v>
      </c>
      <c r="C721" s="5" t="s">
        <v>15</v>
      </c>
      <c r="D721" s="5" t="s">
        <v>52</v>
      </c>
      <c r="E721" s="6" t="s">
        <v>54</v>
      </c>
      <c r="F721" s="6" t="s">
        <v>489</v>
      </c>
      <c r="G721" s="6"/>
      <c r="H721" s="77">
        <f>SUM(H722:H723)</f>
        <v>47</v>
      </c>
      <c r="I721" s="77">
        <f>SUM(I722:I723)</f>
        <v>212.2</v>
      </c>
      <c r="J721" s="223">
        <f>SUM(J722:J723)</f>
        <v>212</v>
      </c>
    </row>
    <row r="722" spans="1:10" ht="36">
      <c r="A722" s="26"/>
      <c r="B722" s="104" t="s">
        <v>199</v>
      </c>
      <c r="C722" s="21" t="s">
        <v>15</v>
      </c>
      <c r="D722" s="21" t="s">
        <v>52</v>
      </c>
      <c r="E722" s="21" t="s">
        <v>54</v>
      </c>
      <c r="F722" s="21" t="s">
        <v>489</v>
      </c>
      <c r="G722" s="21" t="s">
        <v>192</v>
      </c>
      <c r="H722" s="68">
        <f>15+15-15</f>
        <v>15</v>
      </c>
      <c r="I722" s="68">
        <v>212.2</v>
      </c>
      <c r="J722" s="99">
        <v>212</v>
      </c>
    </row>
    <row r="723" spans="1:10" ht="36">
      <c r="A723" s="26"/>
      <c r="B723" s="93" t="s">
        <v>204</v>
      </c>
      <c r="C723" s="9" t="s">
        <v>15</v>
      </c>
      <c r="D723" s="9" t="s">
        <v>52</v>
      </c>
      <c r="E723" s="9" t="s">
        <v>54</v>
      </c>
      <c r="F723" s="9" t="s">
        <v>489</v>
      </c>
      <c r="G723" s="9" t="s">
        <v>196</v>
      </c>
      <c r="H723" s="70">
        <v>32</v>
      </c>
      <c r="I723" s="70">
        <v>0</v>
      </c>
      <c r="J723" s="13">
        <v>0</v>
      </c>
    </row>
    <row r="724" spans="1:10" ht="37.5">
      <c r="A724" s="26"/>
      <c r="B724" s="108" t="s">
        <v>674</v>
      </c>
      <c r="C724" s="11" t="s">
        <v>15</v>
      </c>
      <c r="D724" s="11" t="s">
        <v>52</v>
      </c>
      <c r="E724" s="1" t="s">
        <v>54</v>
      </c>
      <c r="F724" s="1" t="s">
        <v>512</v>
      </c>
      <c r="G724" s="1"/>
      <c r="H724" s="62">
        <f>SUM(H725:H725)</f>
        <v>290.5</v>
      </c>
      <c r="I724" s="62">
        <f>SUM(I725:I725)</f>
        <v>0</v>
      </c>
      <c r="J724" s="188">
        <f>SUM(J725:J725)</f>
        <v>0</v>
      </c>
    </row>
    <row r="725" spans="1:10" ht="36">
      <c r="A725" s="26"/>
      <c r="B725" s="93" t="s">
        <v>199</v>
      </c>
      <c r="C725" s="9" t="s">
        <v>15</v>
      </c>
      <c r="D725" s="9" t="s">
        <v>52</v>
      </c>
      <c r="E725" s="9" t="s">
        <v>54</v>
      </c>
      <c r="F725" s="9" t="s">
        <v>512</v>
      </c>
      <c r="G725" s="9" t="s">
        <v>192</v>
      </c>
      <c r="H725" s="70">
        <v>290.5</v>
      </c>
      <c r="I725" s="70">
        <v>0</v>
      </c>
      <c r="J725" s="13">
        <v>0</v>
      </c>
    </row>
    <row r="726" spans="1:10" ht="56.25">
      <c r="A726" s="26"/>
      <c r="B726" s="108" t="s">
        <v>684</v>
      </c>
      <c r="C726" s="11" t="s">
        <v>15</v>
      </c>
      <c r="D726" s="11" t="s">
        <v>52</v>
      </c>
      <c r="E726" s="1" t="s">
        <v>54</v>
      </c>
      <c r="F726" s="23" t="s">
        <v>491</v>
      </c>
      <c r="G726" s="1"/>
      <c r="H726" s="62">
        <f>H727</f>
        <v>517.8</v>
      </c>
      <c r="I726" s="62">
        <f>I727</f>
        <v>325</v>
      </c>
      <c r="J726" s="188">
        <f>J727</f>
        <v>325</v>
      </c>
    </row>
    <row r="727" spans="1:10" ht="37.5">
      <c r="A727" s="26"/>
      <c r="B727" s="95" t="s">
        <v>685</v>
      </c>
      <c r="C727" s="11" t="s">
        <v>15</v>
      </c>
      <c r="D727" s="11" t="s">
        <v>52</v>
      </c>
      <c r="E727" s="1" t="s">
        <v>54</v>
      </c>
      <c r="F727" s="6" t="s">
        <v>492</v>
      </c>
      <c r="G727" s="12"/>
      <c r="H727" s="62">
        <f>SUM(H728:H729)</f>
        <v>517.8</v>
      </c>
      <c r="I727" s="62">
        <f>SUM(I728:I729)</f>
        <v>325</v>
      </c>
      <c r="J727" s="188">
        <f>SUM(J728:J729)</f>
        <v>325</v>
      </c>
    </row>
    <row r="728" spans="1:10" ht="36">
      <c r="A728" s="26"/>
      <c r="B728" s="104" t="s">
        <v>199</v>
      </c>
      <c r="C728" s="21" t="s">
        <v>15</v>
      </c>
      <c r="D728" s="21" t="s">
        <v>52</v>
      </c>
      <c r="E728" s="21" t="s">
        <v>54</v>
      </c>
      <c r="F728" s="21" t="s">
        <v>492</v>
      </c>
      <c r="G728" s="21" t="s">
        <v>192</v>
      </c>
      <c r="H728" s="68">
        <f>255+205</f>
        <v>460</v>
      </c>
      <c r="I728" s="68">
        <v>325</v>
      </c>
      <c r="J728" s="99">
        <v>325</v>
      </c>
    </row>
    <row r="729" spans="1:10" ht="36">
      <c r="A729" s="26"/>
      <c r="B729" s="111" t="s">
        <v>204</v>
      </c>
      <c r="C729" s="9" t="s">
        <v>15</v>
      </c>
      <c r="D729" s="9" t="s">
        <v>52</v>
      </c>
      <c r="E729" s="9" t="s">
        <v>54</v>
      </c>
      <c r="F729" s="9" t="s">
        <v>492</v>
      </c>
      <c r="G729" s="9" t="s">
        <v>196</v>
      </c>
      <c r="H729" s="70">
        <v>57.8</v>
      </c>
      <c r="I729" s="70">
        <v>0</v>
      </c>
      <c r="J729" s="13">
        <v>0</v>
      </c>
    </row>
    <row r="730" spans="1:10" ht="37.5">
      <c r="A730" s="26"/>
      <c r="B730" s="108" t="s">
        <v>686</v>
      </c>
      <c r="C730" s="11" t="s">
        <v>15</v>
      </c>
      <c r="D730" s="11" t="s">
        <v>52</v>
      </c>
      <c r="E730" s="1" t="s">
        <v>54</v>
      </c>
      <c r="F730" s="23" t="s">
        <v>493</v>
      </c>
      <c r="G730" s="1"/>
      <c r="H730" s="62">
        <f>H731</f>
        <v>0</v>
      </c>
      <c r="I730" s="62">
        <f>I731</f>
        <v>323</v>
      </c>
      <c r="J730" s="188">
        <f>J731</f>
        <v>323</v>
      </c>
    </row>
    <row r="731" spans="1:10" ht="18.75">
      <c r="A731" s="26"/>
      <c r="B731" s="95" t="s">
        <v>654</v>
      </c>
      <c r="C731" s="11" t="s">
        <v>15</v>
      </c>
      <c r="D731" s="11" t="s">
        <v>52</v>
      </c>
      <c r="E731" s="1" t="s">
        <v>54</v>
      </c>
      <c r="F731" s="6" t="s">
        <v>494</v>
      </c>
      <c r="G731" s="12"/>
      <c r="H731" s="62">
        <f>SUM(H732:H732)</f>
        <v>0</v>
      </c>
      <c r="I731" s="62">
        <f>SUM(I732:I732)</f>
        <v>323</v>
      </c>
      <c r="J731" s="188">
        <f>SUM(J732:J732)</f>
        <v>323</v>
      </c>
    </row>
    <row r="732" spans="1:10" ht="36">
      <c r="A732" s="26"/>
      <c r="B732" s="111" t="s">
        <v>199</v>
      </c>
      <c r="C732" s="9" t="s">
        <v>15</v>
      </c>
      <c r="D732" s="9" t="s">
        <v>52</v>
      </c>
      <c r="E732" s="9" t="s">
        <v>54</v>
      </c>
      <c r="F732" s="9" t="s">
        <v>494</v>
      </c>
      <c r="G732" s="9" t="s">
        <v>192</v>
      </c>
      <c r="H732" s="70">
        <v>0</v>
      </c>
      <c r="I732" s="70">
        <v>323</v>
      </c>
      <c r="J732" s="13">
        <v>323</v>
      </c>
    </row>
    <row r="733" spans="1:10" ht="37.5">
      <c r="A733" s="26"/>
      <c r="B733" s="108" t="s">
        <v>679</v>
      </c>
      <c r="C733" s="11" t="s">
        <v>15</v>
      </c>
      <c r="D733" s="11" t="s">
        <v>52</v>
      </c>
      <c r="E733" s="1" t="s">
        <v>54</v>
      </c>
      <c r="F733" s="23" t="s">
        <v>497</v>
      </c>
      <c r="G733" s="1"/>
      <c r="H733" s="62">
        <f>H736+H734</f>
        <v>78.2</v>
      </c>
      <c r="I733" s="62">
        <f>I736</f>
        <v>38</v>
      </c>
      <c r="J733" s="188">
        <f>J736</f>
        <v>38</v>
      </c>
    </row>
    <row r="734" spans="1:10" ht="75">
      <c r="A734" s="26"/>
      <c r="B734" s="108" t="s">
        <v>737</v>
      </c>
      <c r="C734" s="11" t="s">
        <v>15</v>
      </c>
      <c r="D734" s="11" t="s">
        <v>52</v>
      </c>
      <c r="E734" s="1" t="s">
        <v>54</v>
      </c>
      <c r="F734" s="6" t="s">
        <v>736</v>
      </c>
      <c r="G734" s="1"/>
      <c r="H734" s="62">
        <f>H735</f>
        <v>41.2</v>
      </c>
      <c r="I734" s="62">
        <f>I735</f>
        <v>0</v>
      </c>
      <c r="J734" s="188">
        <f>J735</f>
        <v>0</v>
      </c>
    </row>
    <row r="735" spans="1:10" ht="36">
      <c r="A735" s="26"/>
      <c r="B735" s="104" t="s">
        <v>199</v>
      </c>
      <c r="C735" s="21" t="s">
        <v>15</v>
      </c>
      <c r="D735" s="21" t="s">
        <v>52</v>
      </c>
      <c r="E735" s="21" t="s">
        <v>54</v>
      </c>
      <c r="F735" s="21" t="s">
        <v>736</v>
      </c>
      <c r="G735" s="21" t="s">
        <v>192</v>
      </c>
      <c r="H735" s="68">
        <v>41.2</v>
      </c>
      <c r="I735" s="68">
        <v>0</v>
      </c>
      <c r="J735" s="99">
        <v>0</v>
      </c>
    </row>
    <row r="736" spans="1:10" ht="37.5">
      <c r="A736" s="26"/>
      <c r="B736" s="108" t="s">
        <v>681</v>
      </c>
      <c r="C736" s="11" t="s">
        <v>15</v>
      </c>
      <c r="D736" s="11" t="s">
        <v>52</v>
      </c>
      <c r="E736" s="1" t="s">
        <v>54</v>
      </c>
      <c r="F736" s="6" t="s">
        <v>498</v>
      </c>
      <c r="G736" s="1"/>
      <c r="H736" s="62">
        <f>SUM(H737:H738)</f>
        <v>37</v>
      </c>
      <c r="I736" s="62">
        <f>SUM(I737:I738)</f>
        <v>38</v>
      </c>
      <c r="J736" s="188">
        <f>SUM(J737:J738)</f>
        <v>38</v>
      </c>
    </row>
    <row r="737" spans="1:10" ht="36">
      <c r="A737" s="26"/>
      <c r="B737" s="104" t="s">
        <v>199</v>
      </c>
      <c r="C737" s="21" t="s">
        <v>15</v>
      </c>
      <c r="D737" s="21" t="s">
        <v>52</v>
      </c>
      <c r="E737" s="21" t="s">
        <v>54</v>
      </c>
      <c r="F737" s="21" t="s">
        <v>498</v>
      </c>
      <c r="G737" s="21" t="s">
        <v>192</v>
      </c>
      <c r="H737" s="68">
        <v>0</v>
      </c>
      <c r="I737" s="68">
        <v>38</v>
      </c>
      <c r="J737" s="99">
        <v>38</v>
      </c>
    </row>
    <row r="738" spans="1:10" ht="36">
      <c r="A738" s="26"/>
      <c r="B738" s="111" t="s">
        <v>204</v>
      </c>
      <c r="C738" s="9" t="s">
        <v>15</v>
      </c>
      <c r="D738" s="9" t="s">
        <v>52</v>
      </c>
      <c r="E738" s="9" t="s">
        <v>54</v>
      </c>
      <c r="F738" s="9" t="s">
        <v>498</v>
      </c>
      <c r="G738" s="9" t="s">
        <v>196</v>
      </c>
      <c r="H738" s="70">
        <v>37</v>
      </c>
      <c r="I738" s="70">
        <v>0</v>
      </c>
      <c r="J738" s="13">
        <v>0</v>
      </c>
    </row>
    <row r="739" spans="1:10" ht="37.5">
      <c r="A739" s="26"/>
      <c r="B739" s="110" t="s">
        <v>675</v>
      </c>
      <c r="C739" s="22" t="s">
        <v>15</v>
      </c>
      <c r="D739" s="22" t="s">
        <v>52</v>
      </c>
      <c r="E739" s="23" t="s">
        <v>54</v>
      </c>
      <c r="F739" s="23" t="s">
        <v>415</v>
      </c>
      <c r="G739" s="23"/>
      <c r="H739" s="66">
        <f>H740</f>
        <v>920</v>
      </c>
      <c r="I739" s="66">
        <f>I740</f>
        <v>1061</v>
      </c>
      <c r="J739" s="186">
        <f>J740</f>
        <v>1061</v>
      </c>
    </row>
    <row r="740" spans="1:10" ht="37.5">
      <c r="A740" s="26"/>
      <c r="B740" s="96" t="s">
        <v>496</v>
      </c>
      <c r="C740" s="22" t="s">
        <v>15</v>
      </c>
      <c r="D740" s="22" t="s">
        <v>52</v>
      </c>
      <c r="E740" s="23" t="s">
        <v>54</v>
      </c>
      <c r="F740" s="23" t="s">
        <v>495</v>
      </c>
      <c r="G740" s="28"/>
      <c r="H740" s="66">
        <f>SUM(H741:H742)</f>
        <v>920</v>
      </c>
      <c r="I740" s="66">
        <f>SUM(I741:I742)</f>
        <v>1061</v>
      </c>
      <c r="J740" s="186">
        <f>SUM(J741:J742)</f>
        <v>1061</v>
      </c>
    </row>
    <row r="741" spans="1:10" ht="36">
      <c r="A741" s="26"/>
      <c r="B741" s="104" t="s">
        <v>199</v>
      </c>
      <c r="C741" s="21" t="s">
        <v>15</v>
      </c>
      <c r="D741" s="21" t="s">
        <v>52</v>
      </c>
      <c r="E741" s="21" t="s">
        <v>54</v>
      </c>
      <c r="F741" s="21" t="s">
        <v>495</v>
      </c>
      <c r="G741" s="21" t="s">
        <v>192</v>
      </c>
      <c r="H741" s="68">
        <v>220</v>
      </c>
      <c r="I741" s="68">
        <f>1061</f>
        <v>1061</v>
      </c>
      <c r="J741" s="99">
        <f>1061</f>
        <v>1061</v>
      </c>
    </row>
    <row r="742" spans="1:10" ht="36">
      <c r="A742" s="26"/>
      <c r="B742" s="111" t="s">
        <v>204</v>
      </c>
      <c r="C742" s="9" t="s">
        <v>15</v>
      </c>
      <c r="D742" s="9" t="s">
        <v>52</v>
      </c>
      <c r="E742" s="9" t="s">
        <v>54</v>
      </c>
      <c r="F742" s="9" t="s">
        <v>495</v>
      </c>
      <c r="G742" s="9" t="s">
        <v>196</v>
      </c>
      <c r="H742" s="70">
        <v>700</v>
      </c>
      <c r="I742" s="70">
        <v>0</v>
      </c>
      <c r="J742" s="13">
        <v>0</v>
      </c>
    </row>
    <row r="743" spans="1:10" ht="18.75">
      <c r="A743" s="26"/>
      <c r="B743" s="97" t="s">
        <v>26</v>
      </c>
      <c r="C743" s="3" t="s">
        <v>15</v>
      </c>
      <c r="D743" s="3" t="s">
        <v>52</v>
      </c>
      <c r="E743" s="4" t="s">
        <v>54</v>
      </c>
      <c r="F743" s="4" t="s">
        <v>88</v>
      </c>
      <c r="G743" s="10"/>
      <c r="H743" s="78">
        <f aca="true" t="shared" si="80" ref="H743:J746">H744</f>
        <v>200</v>
      </c>
      <c r="I743" s="78">
        <f t="shared" si="80"/>
        <v>0</v>
      </c>
      <c r="J743" s="221">
        <f t="shared" si="80"/>
        <v>0</v>
      </c>
    </row>
    <row r="744" spans="1:10" ht="18.75">
      <c r="A744" s="26"/>
      <c r="B744" s="116" t="s">
        <v>35</v>
      </c>
      <c r="C744" s="3" t="s">
        <v>15</v>
      </c>
      <c r="D744" s="3" t="s">
        <v>52</v>
      </c>
      <c r="E744" s="4" t="s">
        <v>54</v>
      </c>
      <c r="F744" s="4" t="s">
        <v>89</v>
      </c>
      <c r="G744" s="10"/>
      <c r="H744" s="78">
        <f t="shared" si="80"/>
        <v>200</v>
      </c>
      <c r="I744" s="78">
        <f t="shared" si="80"/>
        <v>0</v>
      </c>
      <c r="J744" s="221">
        <f t="shared" si="80"/>
        <v>0</v>
      </c>
    </row>
    <row r="745" spans="1:10" ht="18.75">
      <c r="A745" s="26"/>
      <c r="B745" s="116" t="s">
        <v>35</v>
      </c>
      <c r="C745" s="16" t="s">
        <v>15</v>
      </c>
      <c r="D745" s="16" t="s">
        <v>52</v>
      </c>
      <c r="E745" s="17" t="s">
        <v>54</v>
      </c>
      <c r="F745" s="4" t="s">
        <v>90</v>
      </c>
      <c r="G745" s="10"/>
      <c r="H745" s="78">
        <f t="shared" si="80"/>
        <v>200</v>
      </c>
      <c r="I745" s="78">
        <f t="shared" si="80"/>
        <v>0</v>
      </c>
      <c r="J745" s="221">
        <f t="shared" si="80"/>
        <v>0</v>
      </c>
    </row>
    <row r="746" spans="1:10" ht="37.5">
      <c r="A746" s="26"/>
      <c r="B746" s="136" t="s">
        <v>297</v>
      </c>
      <c r="C746" s="16" t="s">
        <v>15</v>
      </c>
      <c r="D746" s="16" t="s">
        <v>52</v>
      </c>
      <c r="E746" s="17" t="s">
        <v>54</v>
      </c>
      <c r="F746" s="17" t="s">
        <v>413</v>
      </c>
      <c r="G746" s="12"/>
      <c r="H746" s="62">
        <f>H747+H748</f>
        <v>200</v>
      </c>
      <c r="I746" s="62">
        <f t="shared" si="80"/>
        <v>0</v>
      </c>
      <c r="J746" s="188">
        <f t="shared" si="80"/>
        <v>0</v>
      </c>
    </row>
    <row r="747" spans="1:10" ht="36">
      <c r="A747" s="26"/>
      <c r="B747" s="224" t="s">
        <v>199</v>
      </c>
      <c r="C747" s="21" t="s">
        <v>15</v>
      </c>
      <c r="D747" s="21" t="s">
        <v>52</v>
      </c>
      <c r="E747" s="21" t="s">
        <v>54</v>
      </c>
      <c r="F747" s="21" t="s">
        <v>413</v>
      </c>
      <c r="G747" s="21" t="s">
        <v>192</v>
      </c>
      <c r="H747" s="68">
        <v>100</v>
      </c>
      <c r="I747" s="68">
        <v>0</v>
      </c>
      <c r="J747" s="99">
        <v>0</v>
      </c>
    </row>
    <row r="748" spans="1:10" ht="36">
      <c r="A748" s="26"/>
      <c r="B748" s="225" t="s">
        <v>204</v>
      </c>
      <c r="C748" s="9" t="s">
        <v>15</v>
      </c>
      <c r="D748" s="9" t="s">
        <v>52</v>
      </c>
      <c r="E748" s="9" t="s">
        <v>54</v>
      </c>
      <c r="F748" s="9" t="s">
        <v>413</v>
      </c>
      <c r="G748" s="9" t="s">
        <v>196</v>
      </c>
      <c r="H748" s="70">
        <v>100</v>
      </c>
      <c r="I748" s="70">
        <v>0</v>
      </c>
      <c r="J748" s="13">
        <v>0</v>
      </c>
    </row>
    <row r="749" spans="1:10" ht="18.75">
      <c r="A749" s="26"/>
      <c r="B749" s="96" t="s">
        <v>45</v>
      </c>
      <c r="C749" s="22" t="s">
        <v>15</v>
      </c>
      <c r="D749" s="22" t="s">
        <v>52</v>
      </c>
      <c r="E749" s="23" t="s">
        <v>79</v>
      </c>
      <c r="F749" s="23"/>
      <c r="G749" s="23"/>
      <c r="H749" s="66">
        <f>H750+H840+H849</f>
        <v>1257914.8000000003</v>
      </c>
      <c r="I749" s="66">
        <f>I750+I840</f>
        <v>1183587.2</v>
      </c>
      <c r="J749" s="186">
        <f>J750+J840</f>
        <v>1157602</v>
      </c>
    </row>
    <row r="750" spans="1:10" ht="37.5">
      <c r="A750" s="26"/>
      <c r="B750" s="96" t="s">
        <v>160</v>
      </c>
      <c r="C750" s="22" t="s">
        <v>15</v>
      </c>
      <c r="D750" s="22" t="s">
        <v>52</v>
      </c>
      <c r="E750" s="23" t="s">
        <v>79</v>
      </c>
      <c r="F750" s="23" t="s">
        <v>338</v>
      </c>
      <c r="G750" s="23"/>
      <c r="H750" s="66">
        <f>H751+H765+H833</f>
        <v>1256484.1000000003</v>
      </c>
      <c r="I750" s="66">
        <f>I751+I765+I833</f>
        <v>1183049.2</v>
      </c>
      <c r="J750" s="186">
        <f>J751+J765+J833</f>
        <v>1157064</v>
      </c>
    </row>
    <row r="751" spans="1:10" ht="18.75">
      <c r="A751" s="26"/>
      <c r="B751" s="96" t="s">
        <v>607</v>
      </c>
      <c r="C751" s="22" t="s">
        <v>15</v>
      </c>
      <c r="D751" s="23" t="s">
        <v>52</v>
      </c>
      <c r="E751" s="23" t="s">
        <v>79</v>
      </c>
      <c r="F751" s="23" t="s">
        <v>587</v>
      </c>
      <c r="G751" s="28"/>
      <c r="H751" s="66">
        <f>H752+H758+H761+H755</f>
        <v>25640</v>
      </c>
      <c r="I751" s="66">
        <f>I752+I758+I761+I755</f>
        <v>4428.200000000001</v>
      </c>
      <c r="J751" s="186">
        <f>J752+J758+J761+J755</f>
        <v>5352.8</v>
      </c>
    </row>
    <row r="752" spans="1:10" ht="18.75">
      <c r="A752" s="26"/>
      <c r="B752" s="96" t="s">
        <v>608</v>
      </c>
      <c r="C752" s="22" t="s">
        <v>15</v>
      </c>
      <c r="D752" s="23" t="s">
        <v>52</v>
      </c>
      <c r="E752" s="23" t="s">
        <v>79</v>
      </c>
      <c r="F752" s="23" t="s">
        <v>610</v>
      </c>
      <c r="G752" s="28"/>
      <c r="H752" s="66">
        <f>H753</f>
        <v>17324.5</v>
      </c>
      <c r="I752" s="66">
        <f>I753</f>
        <v>0</v>
      </c>
      <c r="J752" s="186">
        <f>J753</f>
        <v>0</v>
      </c>
    </row>
    <row r="753" spans="1:10" ht="93.75">
      <c r="A753" s="26"/>
      <c r="B753" s="95" t="s">
        <v>589</v>
      </c>
      <c r="C753" s="11" t="s">
        <v>15</v>
      </c>
      <c r="D753" s="1" t="s">
        <v>52</v>
      </c>
      <c r="E753" s="1" t="s">
        <v>79</v>
      </c>
      <c r="F753" s="1" t="s">
        <v>609</v>
      </c>
      <c r="G753" s="12"/>
      <c r="H753" s="62">
        <f>SUM(H754:H754)</f>
        <v>17324.5</v>
      </c>
      <c r="I753" s="62">
        <f>SUM(I754:I754)</f>
        <v>0</v>
      </c>
      <c r="J753" s="188">
        <f>SUM(J754:J754)</f>
        <v>0</v>
      </c>
    </row>
    <row r="754" spans="1:10" ht="36">
      <c r="A754" s="26"/>
      <c r="B754" s="93" t="s">
        <v>199</v>
      </c>
      <c r="C754" s="9" t="s">
        <v>15</v>
      </c>
      <c r="D754" s="9" t="s">
        <v>52</v>
      </c>
      <c r="E754" s="9" t="s">
        <v>79</v>
      </c>
      <c r="F754" s="9" t="s">
        <v>609</v>
      </c>
      <c r="G754" s="9" t="s">
        <v>192</v>
      </c>
      <c r="H754" s="70">
        <f>1731.4+1+15592.1</f>
        <v>17324.5</v>
      </c>
      <c r="I754" s="70">
        <v>0</v>
      </c>
      <c r="J754" s="13">
        <v>0</v>
      </c>
    </row>
    <row r="755" spans="1:10" ht="18.75">
      <c r="A755" s="26"/>
      <c r="B755" s="96" t="s">
        <v>689</v>
      </c>
      <c r="C755" s="22" t="s">
        <v>15</v>
      </c>
      <c r="D755" s="22" t="s">
        <v>52</v>
      </c>
      <c r="E755" s="23" t="s">
        <v>79</v>
      </c>
      <c r="F755" s="23" t="s">
        <v>690</v>
      </c>
      <c r="G755" s="28"/>
      <c r="H755" s="66">
        <f>H756</f>
        <v>0</v>
      </c>
      <c r="I755" s="66">
        <f>I756</f>
        <v>0</v>
      </c>
      <c r="J755" s="186">
        <f>J756</f>
        <v>0</v>
      </c>
    </row>
    <row r="756" spans="1:10" ht="93.75">
      <c r="A756" s="26"/>
      <c r="B756" s="98" t="s">
        <v>692</v>
      </c>
      <c r="C756" s="29" t="s">
        <v>15</v>
      </c>
      <c r="D756" s="29" t="s">
        <v>52</v>
      </c>
      <c r="E756" s="30" t="s">
        <v>79</v>
      </c>
      <c r="F756" s="30" t="s">
        <v>691</v>
      </c>
      <c r="G756" s="21"/>
      <c r="H756" s="65">
        <f>SUM(H757:H757)</f>
        <v>0</v>
      </c>
      <c r="I756" s="65">
        <f>SUM(I757:I757)</f>
        <v>0</v>
      </c>
      <c r="J756" s="100">
        <f>SUM(J757:J757)</f>
        <v>0</v>
      </c>
    </row>
    <row r="757" spans="1:10" ht="36">
      <c r="A757" s="26"/>
      <c r="B757" s="93" t="s">
        <v>199</v>
      </c>
      <c r="C757" s="9" t="s">
        <v>15</v>
      </c>
      <c r="D757" s="9" t="s">
        <v>52</v>
      </c>
      <c r="E757" s="9" t="s">
        <v>79</v>
      </c>
      <c r="F757" s="9" t="s">
        <v>691</v>
      </c>
      <c r="G757" s="9" t="s">
        <v>192</v>
      </c>
      <c r="H757" s="70">
        <f>97.1-97.1</f>
        <v>0</v>
      </c>
      <c r="I757" s="70">
        <v>0</v>
      </c>
      <c r="J757" s="13">
        <v>0</v>
      </c>
    </row>
    <row r="758" spans="1:10" ht="18.75">
      <c r="A758" s="26"/>
      <c r="B758" s="96" t="s">
        <v>612</v>
      </c>
      <c r="C758" s="22" t="s">
        <v>15</v>
      </c>
      <c r="D758" s="22" t="s">
        <v>52</v>
      </c>
      <c r="E758" s="23" t="s">
        <v>79</v>
      </c>
      <c r="F758" s="23" t="s">
        <v>611</v>
      </c>
      <c r="G758" s="28"/>
      <c r="H758" s="66">
        <f>H759</f>
        <v>3887.3</v>
      </c>
      <c r="I758" s="66">
        <f>I759</f>
        <v>0</v>
      </c>
      <c r="J758" s="186">
        <f>J759</f>
        <v>0</v>
      </c>
    </row>
    <row r="759" spans="1:10" ht="56.25">
      <c r="A759" s="26"/>
      <c r="B759" s="98" t="s">
        <v>590</v>
      </c>
      <c r="C759" s="29" t="s">
        <v>15</v>
      </c>
      <c r="D759" s="29" t="s">
        <v>52</v>
      </c>
      <c r="E759" s="30" t="s">
        <v>79</v>
      </c>
      <c r="F759" s="30" t="s">
        <v>613</v>
      </c>
      <c r="G759" s="21"/>
      <c r="H759" s="65">
        <f>SUM(H760:H760)</f>
        <v>3887.3</v>
      </c>
      <c r="I759" s="65">
        <f>SUM(I760:I760)</f>
        <v>0</v>
      </c>
      <c r="J759" s="100">
        <f>SUM(J760:J760)</f>
        <v>0</v>
      </c>
    </row>
    <row r="760" spans="1:10" ht="36">
      <c r="A760" s="26"/>
      <c r="B760" s="93" t="s">
        <v>199</v>
      </c>
      <c r="C760" s="9" t="s">
        <v>15</v>
      </c>
      <c r="D760" s="9" t="s">
        <v>52</v>
      </c>
      <c r="E760" s="9" t="s">
        <v>79</v>
      </c>
      <c r="F760" s="9" t="s">
        <v>613</v>
      </c>
      <c r="G760" s="9" t="s">
        <v>192</v>
      </c>
      <c r="H760" s="70">
        <f>777.6-388.9+0.1+3498.6-0.1</f>
        <v>3887.3</v>
      </c>
      <c r="I760" s="70">
        <v>0</v>
      </c>
      <c r="J760" s="13">
        <v>0</v>
      </c>
    </row>
    <row r="761" spans="1:10" ht="37.5">
      <c r="A761" s="26"/>
      <c r="B761" s="96" t="s">
        <v>616</v>
      </c>
      <c r="C761" s="22" t="s">
        <v>15</v>
      </c>
      <c r="D761" s="22" t="s">
        <v>52</v>
      </c>
      <c r="E761" s="23" t="s">
        <v>79</v>
      </c>
      <c r="F761" s="23" t="s">
        <v>614</v>
      </c>
      <c r="G761" s="28"/>
      <c r="H761" s="66">
        <f>H762</f>
        <v>4428.200000000001</v>
      </c>
      <c r="I761" s="66">
        <f>I762</f>
        <v>4428.200000000001</v>
      </c>
      <c r="J761" s="186">
        <f>J762</f>
        <v>5352.8</v>
      </c>
    </row>
    <row r="762" spans="1:10" ht="75">
      <c r="A762" s="26"/>
      <c r="B762" s="95" t="s">
        <v>591</v>
      </c>
      <c r="C762" s="11" t="s">
        <v>15</v>
      </c>
      <c r="D762" s="11" t="s">
        <v>52</v>
      </c>
      <c r="E762" s="1" t="s">
        <v>79</v>
      </c>
      <c r="F762" s="1" t="s">
        <v>615</v>
      </c>
      <c r="G762" s="12"/>
      <c r="H762" s="62">
        <f>H763+H764</f>
        <v>4428.200000000001</v>
      </c>
      <c r="I762" s="62">
        <f>I763+I764</f>
        <v>4428.200000000001</v>
      </c>
      <c r="J762" s="188">
        <f>J763+J764</f>
        <v>5352.8</v>
      </c>
    </row>
    <row r="763" spans="1:10" ht="54">
      <c r="A763" s="26"/>
      <c r="B763" s="92" t="s">
        <v>201</v>
      </c>
      <c r="C763" s="21" t="s">
        <v>15</v>
      </c>
      <c r="D763" s="21" t="s">
        <v>52</v>
      </c>
      <c r="E763" s="21" t="s">
        <v>79</v>
      </c>
      <c r="F763" s="21" t="s">
        <v>615</v>
      </c>
      <c r="G763" s="21" t="s">
        <v>191</v>
      </c>
      <c r="H763" s="68">
        <f>1948+0.4</f>
        <v>1948.4</v>
      </c>
      <c r="I763" s="68">
        <f>1948+0.4</f>
        <v>1948.4</v>
      </c>
      <c r="J763" s="99">
        <f>1511.6+1917.4</f>
        <v>3429</v>
      </c>
    </row>
    <row r="764" spans="1:10" ht="36">
      <c r="A764" s="26"/>
      <c r="B764" s="93" t="s">
        <v>204</v>
      </c>
      <c r="C764" s="9" t="s">
        <v>15</v>
      </c>
      <c r="D764" s="9" t="s">
        <v>52</v>
      </c>
      <c r="E764" s="9" t="s">
        <v>79</v>
      </c>
      <c r="F764" s="9" t="s">
        <v>615</v>
      </c>
      <c r="G764" s="9" t="s">
        <v>196</v>
      </c>
      <c r="H764" s="70">
        <f>2479.3+0.4+0.1</f>
        <v>2479.8</v>
      </c>
      <c r="I764" s="70">
        <f>2479.3+0.4+0.1</f>
        <v>2479.8</v>
      </c>
      <c r="J764" s="13">
        <v>1923.8</v>
      </c>
    </row>
    <row r="765" spans="1:10" ht="18.75">
      <c r="A765" s="26"/>
      <c r="B765" s="95" t="s">
        <v>294</v>
      </c>
      <c r="C765" s="11" t="s">
        <v>15</v>
      </c>
      <c r="D765" s="11" t="s">
        <v>52</v>
      </c>
      <c r="E765" s="1" t="s">
        <v>79</v>
      </c>
      <c r="F765" s="1" t="s">
        <v>359</v>
      </c>
      <c r="G765" s="1"/>
      <c r="H765" s="62">
        <f>H766+H795+H805+H811+H826</f>
        <v>1222078.1000000003</v>
      </c>
      <c r="I765" s="62">
        <f>I766+I795+I805+I811+I826</f>
        <v>1142855</v>
      </c>
      <c r="J765" s="188">
        <f>J766+J795+J805+J811+J826</f>
        <v>1142945.2</v>
      </c>
    </row>
    <row r="766" spans="1:10" ht="37.5">
      <c r="A766" s="26"/>
      <c r="B766" s="95" t="s">
        <v>475</v>
      </c>
      <c r="C766" s="11" t="s">
        <v>15</v>
      </c>
      <c r="D766" s="11" t="s">
        <v>52</v>
      </c>
      <c r="E766" s="1" t="s">
        <v>79</v>
      </c>
      <c r="F766" s="1" t="s">
        <v>473</v>
      </c>
      <c r="G766" s="1"/>
      <c r="H766" s="62">
        <f>H767+H776+H778+H780+H785+H788+H791+H773+H782</f>
        <v>1169342.7000000002</v>
      </c>
      <c r="I766" s="62">
        <f>I767+I776+I778+I780+I785+I788+I791+I773+I782</f>
        <v>1104143.3</v>
      </c>
      <c r="J766" s="62">
        <f>J767+J776+J778+J780+J785+J788+J791+J773+J782</f>
        <v>1103188.9</v>
      </c>
    </row>
    <row r="767" spans="1:10" ht="37.5">
      <c r="A767" s="26"/>
      <c r="B767" s="110" t="s">
        <v>297</v>
      </c>
      <c r="C767" s="11" t="s">
        <v>15</v>
      </c>
      <c r="D767" s="11" t="s">
        <v>52</v>
      </c>
      <c r="E767" s="1" t="s">
        <v>79</v>
      </c>
      <c r="F767" s="1" t="s">
        <v>474</v>
      </c>
      <c r="G767" s="1"/>
      <c r="H767" s="62">
        <f>H768+H769+H771+H772+H770</f>
        <v>162424.30000000002</v>
      </c>
      <c r="I767" s="62">
        <f>I768+I769+I771+I772+I770</f>
        <v>161100.1</v>
      </c>
      <c r="J767" s="62">
        <f>J768+J769+J771+J772+J770</f>
        <v>161100.1</v>
      </c>
    </row>
    <row r="768" spans="1:10" ht="54">
      <c r="A768" s="26"/>
      <c r="B768" s="92" t="s">
        <v>201</v>
      </c>
      <c r="C768" s="21" t="s">
        <v>15</v>
      </c>
      <c r="D768" s="21" t="s">
        <v>52</v>
      </c>
      <c r="E768" s="21" t="s">
        <v>79</v>
      </c>
      <c r="F768" s="21" t="s">
        <v>474</v>
      </c>
      <c r="G768" s="21" t="s">
        <v>191</v>
      </c>
      <c r="H768" s="68">
        <f>12409-1.9+469</f>
        <v>12876.1</v>
      </c>
      <c r="I768" s="68">
        <v>12409</v>
      </c>
      <c r="J768" s="99">
        <v>12409</v>
      </c>
    </row>
    <row r="769" spans="1:13" ht="36">
      <c r="A769" s="26"/>
      <c r="B769" s="102" t="s">
        <v>199</v>
      </c>
      <c r="C769" s="20" t="s">
        <v>15</v>
      </c>
      <c r="D769" s="20" t="s">
        <v>52</v>
      </c>
      <c r="E769" s="20" t="s">
        <v>79</v>
      </c>
      <c r="F769" s="20" t="s">
        <v>474</v>
      </c>
      <c r="G769" s="20" t="s">
        <v>192</v>
      </c>
      <c r="H769" s="69">
        <f>56020.7+1.5+27.3+141.3</f>
        <v>56190.8</v>
      </c>
      <c r="I769" s="69">
        <v>56020.7</v>
      </c>
      <c r="J769" s="234">
        <v>56020.7</v>
      </c>
      <c r="M769" s="204"/>
    </row>
    <row r="770" spans="1:10" ht="18">
      <c r="A770" s="26"/>
      <c r="B770" s="102" t="s">
        <v>205</v>
      </c>
      <c r="C770" s="20" t="s">
        <v>15</v>
      </c>
      <c r="D770" s="20" t="s">
        <v>52</v>
      </c>
      <c r="E770" s="20" t="s">
        <v>79</v>
      </c>
      <c r="F770" s="20" t="s">
        <v>474</v>
      </c>
      <c r="G770" s="20" t="s">
        <v>193</v>
      </c>
      <c r="H770" s="69">
        <v>1.9</v>
      </c>
      <c r="I770" s="69">
        <v>0</v>
      </c>
      <c r="J770" s="234">
        <v>0</v>
      </c>
    </row>
    <row r="771" spans="1:10" ht="36">
      <c r="A771" s="26"/>
      <c r="B771" s="149" t="s">
        <v>204</v>
      </c>
      <c r="C771" s="20" t="s">
        <v>15</v>
      </c>
      <c r="D771" s="20" t="s">
        <v>52</v>
      </c>
      <c r="E771" s="20" t="s">
        <v>79</v>
      </c>
      <c r="F771" s="20" t="s">
        <v>474</v>
      </c>
      <c r="G771" s="20" t="s">
        <v>196</v>
      </c>
      <c r="H771" s="69">
        <f>87649.7+538.1</f>
        <v>88187.8</v>
      </c>
      <c r="I771" s="69">
        <v>87649.7</v>
      </c>
      <c r="J771" s="234">
        <v>87649.7</v>
      </c>
    </row>
    <row r="772" spans="1:10" ht="18">
      <c r="A772" s="26"/>
      <c r="B772" s="93" t="s">
        <v>200</v>
      </c>
      <c r="C772" s="9" t="s">
        <v>15</v>
      </c>
      <c r="D772" s="9" t="s">
        <v>52</v>
      </c>
      <c r="E772" s="9" t="s">
        <v>79</v>
      </c>
      <c r="F772" s="9" t="s">
        <v>474</v>
      </c>
      <c r="G772" s="9" t="s">
        <v>194</v>
      </c>
      <c r="H772" s="70">
        <f>5020.7+147</f>
        <v>5167.7</v>
      </c>
      <c r="I772" s="70">
        <v>5020.7</v>
      </c>
      <c r="J772" s="13">
        <v>5020.7</v>
      </c>
    </row>
    <row r="773" spans="1:10" ht="37.5">
      <c r="A773" s="26"/>
      <c r="B773" s="108" t="s">
        <v>601</v>
      </c>
      <c r="C773" s="11" t="s">
        <v>15</v>
      </c>
      <c r="D773" s="11" t="s">
        <v>52</v>
      </c>
      <c r="E773" s="1" t="s">
        <v>79</v>
      </c>
      <c r="F773" s="1" t="s">
        <v>600</v>
      </c>
      <c r="G773" s="1"/>
      <c r="H773" s="62">
        <f>SUM(H774:H775)</f>
        <v>863.6</v>
      </c>
      <c r="I773" s="62">
        <f>SUM(I775:I775)</f>
        <v>0</v>
      </c>
      <c r="J773" s="188">
        <f>SUM(J775:J775)</f>
        <v>0</v>
      </c>
    </row>
    <row r="774" spans="1:10" ht="36">
      <c r="A774" s="26"/>
      <c r="B774" s="102" t="s">
        <v>199</v>
      </c>
      <c r="C774" s="20" t="s">
        <v>15</v>
      </c>
      <c r="D774" s="20" t="s">
        <v>52</v>
      </c>
      <c r="E774" s="20" t="s">
        <v>79</v>
      </c>
      <c r="F774" s="20" t="s">
        <v>600</v>
      </c>
      <c r="G774" s="20" t="s">
        <v>192</v>
      </c>
      <c r="H774" s="69">
        <v>341.1</v>
      </c>
      <c r="I774" s="69">
        <v>0</v>
      </c>
      <c r="J774" s="234">
        <v>0</v>
      </c>
    </row>
    <row r="775" spans="1:10" ht="36">
      <c r="A775" s="26"/>
      <c r="B775" s="93" t="s">
        <v>204</v>
      </c>
      <c r="C775" s="9" t="s">
        <v>15</v>
      </c>
      <c r="D775" s="9" t="s">
        <v>52</v>
      </c>
      <c r="E775" s="9" t="s">
        <v>79</v>
      </c>
      <c r="F775" s="9" t="s">
        <v>600</v>
      </c>
      <c r="G775" s="9" t="s">
        <v>196</v>
      </c>
      <c r="H775" s="70">
        <f>710-0.1-187.4</f>
        <v>522.5</v>
      </c>
      <c r="I775" s="70">
        <v>0</v>
      </c>
      <c r="J775" s="13">
        <v>0</v>
      </c>
    </row>
    <row r="776" spans="1:10" ht="37.5">
      <c r="A776" s="26"/>
      <c r="B776" s="108" t="s">
        <v>163</v>
      </c>
      <c r="C776" s="11" t="s">
        <v>15</v>
      </c>
      <c r="D776" s="11" t="s">
        <v>52</v>
      </c>
      <c r="E776" s="1" t="s">
        <v>79</v>
      </c>
      <c r="F776" s="1" t="s">
        <v>500</v>
      </c>
      <c r="G776" s="1"/>
      <c r="H776" s="62">
        <f>SUM(H777:H777)</f>
        <v>200</v>
      </c>
      <c r="I776" s="62">
        <f>SUM(I777:I777)</f>
        <v>200</v>
      </c>
      <c r="J776" s="188">
        <f>SUM(J777:J777)</f>
        <v>200</v>
      </c>
    </row>
    <row r="777" spans="1:10" ht="36">
      <c r="A777" s="26"/>
      <c r="B777" s="93" t="s">
        <v>199</v>
      </c>
      <c r="C777" s="9" t="s">
        <v>15</v>
      </c>
      <c r="D777" s="9" t="s">
        <v>52</v>
      </c>
      <c r="E777" s="9" t="s">
        <v>79</v>
      </c>
      <c r="F777" s="9" t="s">
        <v>500</v>
      </c>
      <c r="G777" s="9" t="s">
        <v>192</v>
      </c>
      <c r="H777" s="70">
        <v>200</v>
      </c>
      <c r="I777" s="70">
        <v>200</v>
      </c>
      <c r="J777" s="13">
        <v>200</v>
      </c>
    </row>
    <row r="778" spans="1:10" ht="37.5">
      <c r="A778" s="26"/>
      <c r="B778" s="119" t="s">
        <v>140</v>
      </c>
      <c r="C778" s="29" t="s">
        <v>15</v>
      </c>
      <c r="D778" s="29" t="s">
        <v>52</v>
      </c>
      <c r="E778" s="30" t="s">
        <v>79</v>
      </c>
      <c r="F778" s="30" t="s">
        <v>501</v>
      </c>
      <c r="G778" s="30"/>
      <c r="H778" s="65">
        <f>SUM(H779:H779)</f>
        <v>60</v>
      </c>
      <c r="I778" s="65">
        <f>SUM(I779:I779)</f>
        <v>60</v>
      </c>
      <c r="J778" s="100">
        <f>SUM(J779:J779)</f>
        <v>60</v>
      </c>
    </row>
    <row r="779" spans="1:10" ht="54">
      <c r="A779" s="26"/>
      <c r="B779" s="93" t="s">
        <v>201</v>
      </c>
      <c r="C779" s="9" t="s">
        <v>15</v>
      </c>
      <c r="D779" s="9" t="s">
        <v>52</v>
      </c>
      <c r="E779" s="9" t="s">
        <v>79</v>
      </c>
      <c r="F779" s="9" t="s">
        <v>501</v>
      </c>
      <c r="G779" s="9" t="s">
        <v>191</v>
      </c>
      <c r="H779" s="70">
        <v>60</v>
      </c>
      <c r="I779" s="70">
        <v>60</v>
      </c>
      <c r="J779" s="13">
        <v>60</v>
      </c>
    </row>
    <row r="780" spans="1:10" ht="37.5">
      <c r="A780" s="26"/>
      <c r="B780" s="119" t="s">
        <v>139</v>
      </c>
      <c r="C780" s="29" t="s">
        <v>15</v>
      </c>
      <c r="D780" s="29" t="s">
        <v>52</v>
      </c>
      <c r="E780" s="30" t="s">
        <v>79</v>
      </c>
      <c r="F780" s="30" t="s">
        <v>502</v>
      </c>
      <c r="G780" s="30"/>
      <c r="H780" s="65">
        <f>H781</f>
        <v>260</v>
      </c>
      <c r="I780" s="65">
        <f>I781</f>
        <v>260</v>
      </c>
      <c r="J780" s="100">
        <f>J781</f>
        <v>260</v>
      </c>
    </row>
    <row r="781" spans="1:10" ht="36">
      <c r="A781" s="26"/>
      <c r="B781" s="93" t="s">
        <v>199</v>
      </c>
      <c r="C781" s="9" t="s">
        <v>15</v>
      </c>
      <c r="D781" s="9" t="s">
        <v>52</v>
      </c>
      <c r="E781" s="9" t="s">
        <v>79</v>
      </c>
      <c r="F781" s="9" t="s">
        <v>502</v>
      </c>
      <c r="G781" s="9" t="s">
        <v>192</v>
      </c>
      <c r="H781" s="70">
        <v>260</v>
      </c>
      <c r="I781" s="70">
        <v>260</v>
      </c>
      <c r="J781" s="13">
        <v>260</v>
      </c>
    </row>
    <row r="782" spans="1:10" ht="37.5">
      <c r="A782" s="26"/>
      <c r="B782" s="96" t="s">
        <v>141</v>
      </c>
      <c r="C782" s="22" t="s">
        <v>15</v>
      </c>
      <c r="D782" s="22" t="s">
        <v>52</v>
      </c>
      <c r="E782" s="23" t="s">
        <v>79</v>
      </c>
      <c r="F782" s="23" t="s">
        <v>523</v>
      </c>
      <c r="G782" s="28"/>
      <c r="H782" s="66">
        <f>H783+H784</f>
        <v>196.8</v>
      </c>
      <c r="I782" s="66">
        <f>I783+I784</f>
        <v>0</v>
      </c>
      <c r="J782" s="66">
        <f>J783+J784</f>
        <v>0</v>
      </c>
    </row>
    <row r="783" spans="1:10" ht="36">
      <c r="A783" s="26"/>
      <c r="B783" s="92" t="s">
        <v>199</v>
      </c>
      <c r="C783" s="21" t="s">
        <v>15</v>
      </c>
      <c r="D783" s="21" t="s">
        <v>52</v>
      </c>
      <c r="E783" s="21" t="s">
        <v>79</v>
      </c>
      <c r="F783" s="21" t="s">
        <v>523</v>
      </c>
      <c r="G783" s="21" t="s">
        <v>192</v>
      </c>
      <c r="H783" s="68">
        <v>98.4</v>
      </c>
      <c r="I783" s="68">
        <v>0</v>
      </c>
      <c r="J783" s="99">
        <v>0</v>
      </c>
    </row>
    <row r="784" spans="1:10" ht="36">
      <c r="A784" s="26"/>
      <c r="B784" s="291" t="s">
        <v>204</v>
      </c>
      <c r="C784" s="57" t="s">
        <v>15</v>
      </c>
      <c r="D784" s="57" t="s">
        <v>52</v>
      </c>
      <c r="E784" s="57" t="s">
        <v>79</v>
      </c>
      <c r="F784" s="57" t="s">
        <v>523</v>
      </c>
      <c r="G784" s="7" t="s">
        <v>196</v>
      </c>
      <c r="H784" s="120">
        <v>98.4</v>
      </c>
      <c r="I784" s="120">
        <v>0</v>
      </c>
      <c r="J784" s="266">
        <v>0</v>
      </c>
    </row>
    <row r="785" spans="1:10" ht="37.5">
      <c r="A785" s="26"/>
      <c r="B785" s="108" t="s">
        <v>138</v>
      </c>
      <c r="C785" s="11" t="s">
        <v>15</v>
      </c>
      <c r="D785" s="11" t="s">
        <v>52</v>
      </c>
      <c r="E785" s="1" t="s">
        <v>79</v>
      </c>
      <c r="F785" s="1" t="s">
        <v>503</v>
      </c>
      <c r="G785" s="1"/>
      <c r="H785" s="62">
        <f>H786+H787</f>
        <v>13726.4</v>
      </c>
      <c r="I785" s="62">
        <f>I786+I787</f>
        <v>13726.4</v>
      </c>
      <c r="J785" s="188">
        <f>J786+J787</f>
        <v>13726.4</v>
      </c>
    </row>
    <row r="786" spans="1:10" ht="54">
      <c r="A786" s="26"/>
      <c r="B786" s="92" t="s">
        <v>201</v>
      </c>
      <c r="C786" s="21" t="s">
        <v>15</v>
      </c>
      <c r="D786" s="21" t="s">
        <v>52</v>
      </c>
      <c r="E786" s="21" t="s">
        <v>79</v>
      </c>
      <c r="F786" s="21" t="s">
        <v>503</v>
      </c>
      <c r="G786" s="21" t="s">
        <v>191</v>
      </c>
      <c r="H786" s="85">
        <v>6153.2</v>
      </c>
      <c r="I786" s="85">
        <v>6153.2</v>
      </c>
      <c r="J786" s="228">
        <v>6153.2</v>
      </c>
    </row>
    <row r="787" spans="1:10" ht="36">
      <c r="A787" s="26"/>
      <c r="B787" s="147" t="s">
        <v>204</v>
      </c>
      <c r="C787" s="55" t="s">
        <v>15</v>
      </c>
      <c r="D787" s="55" t="s">
        <v>52</v>
      </c>
      <c r="E787" s="55" t="s">
        <v>79</v>
      </c>
      <c r="F787" s="55" t="s">
        <v>503</v>
      </c>
      <c r="G787" s="55" t="s">
        <v>196</v>
      </c>
      <c r="H787" s="89">
        <v>7573.2</v>
      </c>
      <c r="I787" s="89">
        <v>7573.2</v>
      </c>
      <c r="J787" s="274">
        <v>7573.2</v>
      </c>
    </row>
    <row r="788" spans="1:10" ht="56.25">
      <c r="A788" s="26"/>
      <c r="B788" s="110" t="s">
        <v>253</v>
      </c>
      <c r="C788" s="11" t="s">
        <v>15</v>
      </c>
      <c r="D788" s="11" t="s">
        <v>52</v>
      </c>
      <c r="E788" s="1" t="s">
        <v>79</v>
      </c>
      <c r="F788" s="1" t="s">
        <v>504</v>
      </c>
      <c r="G788" s="1"/>
      <c r="H788" s="62">
        <f>SUM(H789:H790)</f>
        <v>35565.1</v>
      </c>
      <c r="I788" s="62">
        <f>SUM(I789:I790)</f>
        <v>31098.1</v>
      </c>
      <c r="J788" s="188">
        <f>SUM(J789:J790)</f>
        <v>32223</v>
      </c>
    </row>
    <row r="789" spans="1:10" ht="54">
      <c r="A789" s="26"/>
      <c r="B789" s="150" t="s">
        <v>201</v>
      </c>
      <c r="C789" s="21" t="s">
        <v>15</v>
      </c>
      <c r="D789" s="21" t="s">
        <v>52</v>
      </c>
      <c r="E789" s="21" t="s">
        <v>79</v>
      </c>
      <c r="F789" s="21" t="s">
        <v>504</v>
      </c>
      <c r="G789" s="21" t="s">
        <v>191</v>
      </c>
      <c r="H789" s="85">
        <f>12675.3+628.8+2509.7</f>
        <v>15813.8</v>
      </c>
      <c r="I789" s="85">
        <f>12675.3+1002</f>
        <v>13677.3</v>
      </c>
      <c r="J789" s="228">
        <v>14177.3</v>
      </c>
    </row>
    <row r="790" spans="1:10" ht="36">
      <c r="A790" s="26"/>
      <c r="B790" s="93" t="s">
        <v>204</v>
      </c>
      <c r="C790" s="9" t="s">
        <v>15</v>
      </c>
      <c r="D790" s="9" t="s">
        <v>52</v>
      </c>
      <c r="E790" s="9" t="s">
        <v>79</v>
      </c>
      <c r="F790" s="9" t="s">
        <v>504</v>
      </c>
      <c r="G790" s="9" t="s">
        <v>196</v>
      </c>
      <c r="H790" s="74">
        <f>15858.4+937.4+2955.5</f>
        <v>19751.3</v>
      </c>
      <c r="I790" s="74">
        <f>15858.4+1562.4</f>
        <v>17420.8</v>
      </c>
      <c r="J790" s="197">
        <v>18045.7</v>
      </c>
    </row>
    <row r="791" spans="1:10" ht="168.75">
      <c r="A791" s="26"/>
      <c r="B791" s="110" t="s">
        <v>165</v>
      </c>
      <c r="C791" s="11" t="s">
        <v>15</v>
      </c>
      <c r="D791" s="11" t="s">
        <v>52</v>
      </c>
      <c r="E791" s="1" t="s">
        <v>79</v>
      </c>
      <c r="F791" s="1" t="s">
        <v>505</v>
      </c>
      <c r="G791" s="1"/>
      <c r="H791" s="62">
        <f>SUM(H792:H794)</f>
        <v>956046.5</v>
      </c>
      <c r="I791" s="62">
        <f>SUM(I792:I794)</f>
        <v>897698.7</v>
      </c>
      <c r="J791" s="188">
        <f>SUM(J792:J794)</f>
        <v>895619.4</v>
      </c>
    </row>
    <row r="792" spans="1:10" ht="54">
      <c r="A792" s="26"/>
      <c r="B792" s="150" t="s">
        <v>201</v>
      </c>
      <c r="C792" s="21" t="s">
        <v>15</v>
      </c>
      <c r="D792" s="21" t="s">
        <v>52</v>
      </c>
      <c r="E792" s="21" t="s">
        <v>79</v>
      </c>
      <c r="F792" s="21" t="s">
        <v>505</v>
      </c>
      <c r="G792" s="21" t="s">
        <v>191</v>
      </c>
      <c r="H792" s="85">
        <f>361008.1+51837.8-4276</f>
        <v>408569.89999999997</v>
      </c>
      <c r="I792" s="85">
        <v>361008.1</v>
      </c>
      <c r="J792" s="228">
        <f>361008.1-2079.3</f>
        <v>358928.8</v>
      </c>
    </row>
    <row r="793" spans="1:10" ht="36">
      <c r="A793" s="26"/>
      <c r="B793" s="150" t="s">
        <v>199</v>
      </c>
      <c r="C793" s="20" t="s">
        <v>15</v>
      </c>
      <c r="D793" s="20" t="s">
        <v>52</v>
      </c>
      <c r="E793" s="20" t="s">
        <v>79</v>
      </c>
      <c r="F793" s="20" t="s">
        <v>505</v>
      </c>
      <c r="G793" s="20" t="s">
        <v>192</v>
      </c>
      <c r="H793" s="82">
        <f>24909.9+2239.5</f>
        <v>27149.4</v>
      </c>
      <c r="I793" s="82">
        <v>24909.9</v>
      </c>
      <c r="J793" s="259">
        <v>24909.9</v>
      </c>
    </row>
    <row r="794" spans="1:10" ht="36">
      <c r="A794" s="26"/>
      <c r="B794" s="93" t="s">
        <v>204</v>
      </c>
      <c r="C794" s="9" t="s">
        <v>15</v>
      </c>
      <c r="D794" s="9" t="s">
        <v>52</v>
      </c>
      <c r="E794" s="9" t="s">
        <v>79</v>
      </c>
      <c r="F794" s="9" t="s">
        <v>505</v>
      </c>
      <c r="G794" s="9" t="s">
        <v>196</v>
      </c>
      <c r="H794" s="74">
        <f>511780.7+6510+2036.5</f>
        <v>520327.2</v>
      </c>
      <c r="I794" s="74">
        <v>511780.7</v>
      </c>
      <c r="J794" s="197">
        <v>511780.7</v>
      </c>
    </row>
    <row r="795" spans="1:10" ht="37.5">
      <c r="A795" s="26"/>
      <c r="B795" s="95" t="s">
        <v>478</v>
      </c>
      <c r="C795" s="11" t="s">
        <v>15</v>
      </c>
      <c r="D795" s="11" t="s">
        <v>52</v>
      </c>
      <c r="E795" s="1" t="s">
        <v>79</v>
      </c>
      <c r="F795" s="1" t="s">
        <v>477</v>
      </c>
      <c r="G795" s="1"/>
      <c r="H795" s="62">
        <f>H799+H796+H802</f>
        <v>4438.1</v>
      </c>
      <c r="I795" s="62">
        <f>I799+I796+I802</f>
        <v>679.2</v>
      </c>
      <c r="J795" s="188">
        <f>J799+J796+J802</f>
        <v>679.0999999999999</v>
      </c>
    </row>
    <row r="796" spans="1:10" ht="37.5">
      <c r="A796" s="26"/>
      <c r="B796" s="96" t="s">
        <v>188</v>
      </c>
      <c r="C796" s="22" t="s">
        <v>15</v>
      </c>
      <c r="D796" s="22" t="s">
        <v>52</v>
      </c>
      <c r="E796" s="23" t="s">
        <v>79</v>
      </c>
      <c r="F796" s="23" t="s">
        <v>526</v>
      </c>
      <c r="G796" s="23"/>
      <c r="H796" s="62">
        <f>H797+H798</f>
        <v>462.5</v>
      </c>
      <c r="I796" s="62">
        <f>I797+I798</f>
        <v>0</v>
      </c>
      <c r="J796" s="188">
        <f>J797+J798</f>
        <v>0</v>
      </c>
    </row>
    <row r="797" spans="1:10" ht="36">
      <c r="A797" s="26"/>
      <c r="B797" s="92" t="s">
        <v>199</v>
      </c>
      <c r="C797" s="21" t="s">
        <v>15</v>
      </c>
      <c r="D797" s="21" t="s">
        <v>52</v>
      </c>
      <c r="E797" s="21" t="s">
        <v>79</v>
      </c>
      <c r="F797" s="21" t="s">
        <v>526</v>
      </c>
      <c r="G797" s="21" t="s">
        <v>192</v>
      </c>
      <c r="H797" s="68">
        <f>94.1+96</f>
        <v>190.1</v>
      </c>
      <c r="I797" s="68">
        <v>0</v>
      </c>
      <c r="J797" s="99">
        <v>0</v>
      </c>
    </row>
    <row r="798" spans="1:10" ht="36">
      <c r="A798" s="26"/>
      <c r="B798" s="151" t="s">
        <v>204</v>
      </c>
      <c r="C798" s="10" t="s">
        <v>15</v>
      </c>
      <c r="D798" s="10" t="s">
        <v>52</v>
      </c>
      <c r="E798" s="10" t="s">
        <v>79</v>
      </c>
      <c r="F798" s="10" t="s">
        <v>526</v>
      </c>
      <c r="G798" s="10" t="s">
        <v>196</v>
      </c>
      <c r="H798" s="120">
        <f>128.4+144</f>
        <v>272.4</v>
      </c>
      <c r="I798" s="120">
        <v>0</v>
      </c>
      <c r="J798" s="266">
        <v>0</v>
      </c>
    </row>
    <row r="799" spans="1:10" ht="37.5">
      <c r="A799" s="26"/>
      <c r="B799" s="110" t="s">
        <v>131</v>
      </c>
      <c r="C799" s="22" t="s">
        <v>15</v>
      </c>
      <c r="D799" s="22" t="s">
        <v>52</v>
      </c>
      <c r="E799" s="23" t="s">
        <v>79</v>
      </c>
      <c r="F799" s="23" t="s">
        <v>476</v>
      </c>
      <c r="G799" s="23"/>
      <c r="H799" s="66">
        <f>SUM(H800:H801)</f>
        <v>679.0999999999999</v>
      </c>
      <c r="I799" s="66">
        <f>SUM(I800:I801)</f>
        <v>679.2</v>
      </c>
      <c r="J799" s="186">
        <f>SUM(J800:J801)</f>
        <v>679.0999999999999</v>
      </c>
    </row>
    <row r="800" spans="1:10" ht="36">
      <c r="A800" s="26"/>
      <c r="B800" s="150" t="s">
        <v>199</v>
      </c>
      <c r="C800" s="57" t="s">
        <v>15</v>
      </c>
      <c r="D800" s="57" t="s">
        <v>52</v>
      </c>
      <c r="E800" s="57" t="s">
        <v>79</v>
      </c>
      <c r="F800" s="57" t="s">
        <v>476</v>
      </c>
      <c r="G800" s="57" t="s">
        <v>192</v>
      </c>
      <c r="H800" s="94">
        <v>286.9</v>
      </c>
      <c r="I800" s="94">
        <v>286.9</v>
      </c>
      <c r="J800" s="277">
        <v>286.9</v>
      </c>
    </row>
    <row r="801" spans="1:10" ht="36">
      <c r="A801" s="26"/>
      <c r="B801" s="93" t="s">
        <v>204</v>
      </c>
      <c r="C801" s="9" t="s">
        <v>15</v>
      </c>
      <c r="D801" s="9" t="s">
        <v>52</v>
      </c>
      <c r="E801" s="9" t="s">
        <v>79</v>
      </c>
      <c r="F801" s="9" t="s">
        <v>476</v>
      </c>
      <c r="G801" s="9" t="s">
        <v>196</v>
      </c>
      <c r="H801" s="74">
        <f>392.3-0.1</f>
        <v>392.2</v>
      </c>
      <c r="I801" s="74">
        <v>392.3</v>
      </c>
      <c r="J801" s="197">
        <f>392.3-0.1</f>
        <v>392.2</v>
      </c>
    </row>
    <row r="802" spans="1:10" ht="18.75">
      <c r="A802" s="26"/>
      <c r="B802" s="98" t="s">
        <v>148</v>
      </c>
      <c r="C802" s="29" t="s">
        <v>15</v>
      </c>
      <c r="D802" s="29" t="s">
        <v>52</v>
      </c>
      <c r="E802" s="30" t="s">
        <v>79</v>
      </c>
      <c r="F802" s="30" t="s">
        <v>527</v>
      </c>
      <c r="G802" s="30"/>
      <c r="H802" s="179">
        <f>H804+H803</f>
        <v>3296.5</v>
      </c>
      <c r="I802" s="179">
        <f>I804</f>
        <v>0</v>
      </c>
      <c r="J802" s="262">
        <f>J804</f>
        <v>0</v>
      </c>
    </row>
    <row r="803" spans="1:10" ht="36">
      <c r="A803" s="26"/>
      <c r="B803" s="102" t="s">
        <v>199</v>
      </c>
      <c r="C803" s="20" t="s">
        <v>15</v>
      </c>
      <c r="D803" s="20" t="s">
        <v>52</v>
      </c>
      <c r="E803" s="20" t="s">
        <v>79</v>
      </c>
      <c r="F803" s="20" t="s">
        <v>527</v>
      </c>
      <c r="G803" s="20" t="s">
        <v>192</v>
      </c>
      <c r="H803" s="82">
        <v>2579.6</v>
      </c>
      <c r="I803" s="82">
        <v>0</v>
      </c>
      <c r="J803" s="259">
        <v>0</v>
      </c>
    </row>
    <row r="804" spans="1:10" ht="36">
      <c r="A804" s="26"/>
      <c r="B804" s="93" t="s">
        <v>204</v>
      </c>
      <c r="C804" s="9" t="s">
        <v>15</v>
      </c>
      <c r="D804" s="9" t="s">
        <v>52</v>
      </c>
      <c r="E804" s="9" t="s">
        <v>79</v>
      </c>
      <c r="F804" s="9" t="s">
        <v>527</v>
      </c>
      <c r="G804" s="9" t="s">
        <v>196</v>
      </c>
      <c r="H804" s="74">
        <f>353.9+363</f>
        <v>716.9</v>
      </c>
      <c r="I804" s="74">
        <v>0</v>
      </c>
      <c r="J804" s="197">
        <v>0</v>
      </c>
    </row>
    <row r="805" spans="1:10" ht="56.25">
      <c r="A805" s="26"/>
      <c r="B805" s="95" t="s">
        <v>510</v>
      </c>
      <c r="C805" s="11" t="s">
        <v>15</v>
      </c>
      <c r="D805" s="11" t="s">
        <v>52</v>
      </c>
      <c r="E805" s="1" t="s">
        <v>79</v>
      </c>
      <c r="F805" s="1" t="s">
        <v>508</v>
      </c>
      <c r="G805" s="1"/>
      <c r="H805" s="62">
        <f>H806+H808</f>
        <v>350</v>
      </c>
      <c r="I805" s="62">
        <f>I806+I808</f>
        <v>322.6</v>
      </c>
      <c r="J805" s="62">
        <f>J806+J808</f>
        <v>322.6</v>
      </c>
    </row>
    <row r="806" spans="1:10" ht="56.25">
      <c r="A806" s="26"/>
      <c r="B806" s="108" t="s">
        <v>168</v>
      </c>
      <c r="C806" s="11" t="s">
        <v>15</v>
      </c>
      <c r="D806" s="11" t="s">
        <v>52</v>
      </c>
      <c r="E806" s="1" t="s">
        <v>79</v>
      </c>
      <c r="F806" s="1" t="s">
        <v>509</v>
      </c>
      <c r="G806" s="1"/>
      <c r="H806" s="62">
        <f>SUM(H807:H807)</f>
        <v>322.6</v>
      </c>
      <c r="I806" s="62">
        <f>SUM(I807:I807)</f>
        <v>322.6</v>
      </c>
      <c r="J806" s="188">
        <f>SUM(J807:J807)</f>
        <v>322.6</v>
      </c>
    </row>
    <row r="807" spans="1:10" ht="36">
      <c r="A807" s="26"/>
      <c r="B807" s="111" t="s">
        <v>199</v>
      </c>
      <c r="C807" s="9" t="s">
        <v>15</v>
      </c>
      <c r="D807" s="9" t="s">
        <v>52</v>
      </c>
      <c r="E807" s="9" t="s">
        <v>79</v>
      </c>
      <c r="F807" s="9" t="s">
        <v>509</v>
      </c>
      <c r="G807" s="9" t="s">
        <v>192</v>
      </c>
      <c r="H807" s="70">
        <v>322.6</v>
      </c>
      <c r="I807" s="70">
        <v>322.6</v>
      </c>
      <c r="J807" s="13">
        <v>322.6</v>
      </c>
    </row>
    <row r="808" spans="1:10" ht="37.5">
      <c r="A808" s="26"/>
      <c r="B808" s="110" t="s">
        <v>768</v>
      </c>
      <c r="C808" s="22" t="s">
        <v>15</v>
      </c>
      <c r="D808" s="22" t="s">
        <v>52</v>
      </c>
      <c r="E808" s="23" t="s">
        <v>79</v>
      </c>
      <c r="F808" s="23" t="s">
        <v>529</v>
      </c>
      <c r="G808" s="28"/>
      <c r="H808" s="66">
        <f>H809+H810</f>
        <v>27.4</v>
      </c>
      <c r="I808" s="66">
        <f>I809+I810</f>
        <v>0</v>
      </c>
      <c r="J808" s="66">
        <f>J809+J810</f>
        <v>0</v>
      </c>
    </row>
    <row r="809" spans="1:10" ht="36">
      <c r="A809" s="26"/>
      <c r="B809" s="92" t="s">
        <v>199</v>
      </c>
      <c r="C809" s="21" t="s">
        <v>15</v>
      </c>
      <c r="D809" s="21" t="s">
        <v>52</v>
      </c>
      <c r="E809" s="21" t="s">
        <v>79</v>
      </c>
      <c r="F809" s="21" t="s">
        <v>529</v>
      </c>
      <c r="G809" s="21" t="s">
        <v>192</v>
      </c>
      <c r="H809" s="68">
        <v>19.2</v>
      </c>
      <c r="I809" s="68">
        <v>0</v>
      </c>
      <c r="J809" s="99">
        <v>0</v>
      </c>
    </row>
    <row r="810" spans="1:10" ht="36">
      <c r="A810" s="26"/>
      <c r="B810" s="151" t="s">
        <v>204</v>
      </c>
      <c r="C810" s="7" t="s">
        <v>15</v>
      </c>
      <c r="D810" s="7" t="s">
        <v>52</v>
      </c>
      <c r="E810" s="7" t="s">
        <v>79</v>
      </c>
      <c r="F810" s="7" t="s">
        <v>529</v>
      </c>
      <c r="G810" s="7" t="s">
        <v>196</v>
      </c>
      <c r="H810" s="120">
        <v>8.2</v>
      </c>
      <c r="I810" s="120">
        <v>0</v>
      </c>
      <c r="J810" s="266">
        <v>0</v>
      </c>
    </row>
    <row r="811" spans="1:10" ht="37.5">
      <c r="A811" s="26"/>
      <c r="B811" s="108" t="s">
        <v>481</v>
      </c>
      <c r="C811" s="11" t="s">
        <v>15</v>
      </c>
      <c r="D811" s="11" t="s">
        <v>52</v>
      </c>
      <c r="E811" s="1" t="s">
        <v>79</v>
      </c>
      <c r="F811" s="1" t="s">
        <v>479</v>
      </c>
      <c r="G811" s="1"/>
      <c r="H811" s="62">
        <f>H812+H815+H821+H818+H824</f>
        <v>28052.700000000004</v>
      </c>
      <c r="I811" s="62">
        <f>I812+I815+I821+I818+I824</f>
        <v>23746.399999999998</v>
      </c>
      <c r="J811" s="62">
        <f>J812+J815+J821+J818+J824</f>
        <v>23746.399999999998</v>
      </c>
    </row>
    <row r="812" spans="1:10" ht="37.5">
      <c r="A812" s="26"/>
      <c r="B812" s="110" t="s">
        <v>132</v>
      </c>
      <c r="C812" s="22" t="s">
        <v>15</v>
      </c>
      <c r="D812" s="22" t="s">
        <v>52</v>
      </c>
      <c r="E812" s="23" t="s">
        <v>79</v>
      </c>
      <c r="F812" s="23" t="s">
        <v>480</v>
      </c>
      <c r="G812" s="23"/>
      <c r="H812" s="66">
        <f>SUM(H813:H814)</f>
        <v>1603.1999999999998</v>
      </c>
      <c r="I812" s="66">
        <f>SUM(I813:I814)</f>
        <v>1603.1999999999998</v>
      </c>
      <c r="J812" s="186">
        <f>SUM(J813:J814)</f>
        <v>1603.1999999999998</v>
      </c>
    </row>
    <row r="813" spans="1:10" ht="36">
      <c r="A813" s="26"/>
      <c r="B813" s="92" t="s">
        <v>199</v>
      </c>
      <c r="C813" s="21" t="s">
        <v>15</v>
      </c>
      <c r="D813" s="21" t="s">
        <v>52</v>
      </c>
      <c r="E813" s="21" t="s">
        <v>79</v>
      </c>
      <c r="F813" s="21" t="s">
        <v>480</v>
      </c>
      <c r="G813" s="21" t="s">
        <v>192</v>
      </c>
      <c r="H813" s="68">
        <v>577.6</v>
      </c>
      <c r="I813" s="68">
        <v>577.6</v>
      </c>
      <c r="J813" s="99">
        <v>577.6</v>
      </c>
    </row>
    <row r="814" spans="1:10" ht="36">
      <c r="A814" s="26"/>
      <c r="B814" s="93" t="s">
        <v>204</v>
      </c>
      <c r="C814" s="9" t="s">
        <v>15</v>
      </c>
      <c r="D814" s="9" t="s">
        <v>52</v>
      </c>
      <c r="E814" s="9" t="s">
        <v>79</v>
      </c>
      <c r="F814" s="9" t="s">
        <v>480</v>
      </c>
      <c r="G814" s="9" t="s">
        <v>196</v>
      </c>
      <c r="H814" s="70">
        <v>1025.6</v>
      </c>
      <c r="I814" s="70">
        <v>1025.6</v>
      </c>
      <c r="J814" s="13">
        <v>1025.6</v>
      </c>
    </row>
    <row r="815" spans="1:10" ht="37.5">
      <c r="A815" s="26"/>
      <c r="B815" s="110" t="s">
        <v>135</v>
      </c>
      <c r="C815" s="22" t="s">
        <v>15</v>
      </c>
      <c r="D815" s="22" t="s">
        <v>52</v>
      </c>
      <c r="E815" s="23" t="s">
        <v>79</v>
      </c>
      <c r="F815" s="23" t="s">
        <v>482</v>
      </c>
      <c r="G815" s="23"/>
      <c r="H815" s="66">
        <f>SUM(H816:H817)</f>
        <v>1992</v>
      </c>
      <c r="I815" s="66">
        <f>SUM(I816:I817)</f>
        <v>1992</v>
      </c>
      <c r="J815" s="186">
        <f>SUM(J816:J817)</f>
        <v>1992</v>
      </c>
    </row>
    <row r="816" spans="1:10" ht="36">
      <c r="A816" s="26"/>
      <c r="B816" s="92" t="s">
        <v>199</v>
      </c>
      <c r="C816" s="21" t="s">
        <v>15</v>
      </c>
      <c r="D816" s="21" t="s">
        <v>52</v>
      </c>
      <c r="E816" s="21" t="s">
        <v>79</v>
      </c>
      <c r="F816" s="21" t="s">
        <v>482</v>
      </c>
      <c r="G816" s="21" t="s">
        <v>192</v>
      </c>
      <c r="H816" s="68">
        <v>896.4</v>
      </c>
      <c r="I816" s="68">
        <v>896.4</v>
      </c>
      <c r="J816" s="99">
        <v>896.4</v>
      </c>
    </row>
    <row r="817" spans="1:10" ht="36">
      <c r="A817" s="26"/>
      <c r="B817" s="93" t="s">
        <v>204</v>
      </c>
      <c r="C817" s="9" t="s">
        <v>15</v>
      </c>
      <c r="D817" s="9" t="s">
        <v>52</v>
      </c>
      <c r="E817" s="9" t="s">
        <v>79</v>
      </c>
      <c r="F817" s="9" t="s">
        <v>482</v>
      </c>
      <c r="G817" s="9" t="s">
        <v>196</v>
      </c>
      <c r="H817" s="70">
        <v>1095.6</v>
      </c>
      <c r="I817" s="70">
        <v>1095.6</v>
      </c>
      <c r="J817" s="13">
        <v>1095.6</v>
      </c>
    </row>
    <row r="818" spans="1:10" ht="37.5">
      <c r="A818" s="26"/>
      <c r="B818" s="110" t="s">
        <v>740</v>
      </c>
      <c r="C818" s="22" t="s">
        <v>15</v>
      </c>
      <c r="D818" s="22" t="s">
        <v>52</v>
      </c>
      <c r="E818" s="23" t="s">
        <v>79</v>
      </c>
      <c r="F818" s="23" t="s">
        <v>530</v>
      </c>
      <c r="G818" s="23"/>
      <c r="H818" s="66">
        <f>SUM(H819:H820)</f>
        <v>4903.2</v>
      </c>
      <c r="I818" s="66">
        <f>SUM(I819:I820)</f>
        <v>0</v>
      </c>
      <c r="J818" s="186">
        <f>SUM(J819:J820)</f>
        <v>0</v>
      </c>
    </row>
    <row r="819" spans="1:10" ht="36">
      <c r="A819" s="26"/>
      <c r="B819" s="92" t="s">
        <v>199</v>
      </c>
      <c r="C819" s="21" t="s">
        <v>15</v>
      </c>
      <c r="D819" s="21" t="s">
        <v>52</v>
      </c>
      <c r="E819" s="21" t="s">
        <v>79</v>
      </c>
      <c r="F819" s="21" t="s">
        <v>530</v>
      </c>
      <c r="G819" s="21" t="s">
        <v>192</v>
      </c>
      <c r="H819" s="68">
        <f>1896.8+116.1+178.4+89.5</f>
        <v>2280.7999999999997</v>
      </c>
      <c r="I819" s="68">
        <v>0</v>
      </c>
      <c r="J819" s="99">
        <v>0</v>
      </c>
    </row>
    <row r="820" spans="1:10" ht="36">
      <c r="A820" s="26"/>
      <c r="B820" s="93" t="s">
        <v>204</v>
      </c>
      <c r="C820" s="9" t="s">
        <v>15</v>
      </c>
      <c r="D820" s="9" t="s">
        <v>52</v>
      </c>
      <c r="E820" s="9" t="s">
        <v>79</v>
      </c>
      <c r="F820" s="9" t="s">
        <v>530</v>
      </c>
      <c r="G820" s="9" t="s">
        <v>196</v>
      </c>
      <c r="H820" s="70">
        <f>690.1+208.8+117.8+1605.7</f>
        <v>2622.4</v>
      </c>
      <c r="I820" s="70">
        <v>0</v>
      </c>
      <c r="J820" s="13">
        <v>0</v>
      </c>
    </row>
    <row r="821" spans="1:10" ht="56.25">
      <c r="A821" s="26"/>
      <c r="B821" s="110" t="s">
        <v>273</v>
      </c>
      <c r="C821" s="22" t="s">
        <v>15</v>
      </c>
      <c r="D821" s="22" t="s">
        <v>52</v>
      </c>
      <c r="E821" s="23" t="s">
        <v>79</v>
      </c>
      <c r="F821" s="23" t="s">
        <v>483</v>
      </c>
      <c r="G821" s="23"/>
      <c r="H821" s="66">
        <f>SUM(H822:H823)</f>
        <v>19456.4</v>
      </c>
      <c r="I821" s="66">
        <f>SUM(I822:I823)</f>
        <v>20151.199999999997</v>
      </c>
      <c r="J821" s="186">
        <f>SUM(J822:J823)</f>
        <v>20151.199999999997</v>
      </c>
    </row>
    <row r="822" spans="1:10" ht="36">
      <c r="A822" s="26"/>
      <c r="B822" s="92" t="s">
        <v>199</v>
      </c>
      <c r="C822" s="21" t="s">
        <v>15</v>
      </c>
      <c r="D822" s="21" t="s">
        <v>52</v>
      </c>
      <c r="E822" s="21" t="s">
        <v>79</v>
      </c>
      <c r="F822" s="21" t="s">
        <v>483</v>
      </c>
      <c r="G822" s="21" t="s">
        <v>192</v>
      </c>
      <c r="H822" s="68">
        <v>8711.1</v>
      </c>
      <c r="I822" s="68">
        <f>8711.1+309</f>
        <v>9020.1</v>
      </c>
      <c r="J822" s="99">
        <f>8711.1+309</f>
        <v>9020.1</v>
      </c>
    </row>
    <row r="823" spans="1:10" ht="36">
      <c r="A823" s="26"/>
      <c r="B823" s="93" t="s">
        <v>204</v>
      </c>
      <c r="C823" s="9" t="s">
        <v>15</v>
      </c>
      <c r="D823" s="9" t="s">
        <v>52</v>
      </c>
      <c r="E823" s="9" t="s">
        <v>79</v>
      </c>
      <c r="F823" s="9" t="s">
        <v>483</v>
      </c>
      <c r="G823" s="9" t="s">
        <v>196</v>
      </c>
      <c r="H823" s="70">
        <f>10745.5-0.2</f>
        <v>10745.3</v>
      </c>
      <c r="I823" s="70">
        <f>10745.5+385.8-0.2</f>
        <v>11131.099999999999</v>
      </c>
      <c r="J823" s="13">
        <f>10745.5+385.8-0.2</f>
        <v>11131.099999999999</v>
      </c>
    </row>
    <row r="824" spans="1:10" ht="23.25" customHeight="1">
      <c r="A824" s="26"/>
      <c r="B824" s="96" t="s">
        <v>177</v>
      </c>
      <c r="C824" s="22" t="s">
        <v>15</v>
      </c>
      <c r="D824" s="22" t="s">
        <v>52</v>
      </c>
      <c r="E824" s="23" t="s">
        <v>79</v>
      </c>
      <c r="F824" s="23" t="s">
        <v>531</v>
      </c>
      <c r="G824" s="28"/>
      <c r="H824" s="66">
        <f>H825</f>
        <v>97.9</v>
      </c>
      <c r="I824" s="66">
        <f>I825</f>
        <v>0</v>
      </c>
      <c r="J824" s="66">
        <f>J825</f>
        <v>0</v>
      </c>
    </row>
    <row r="825" spans="1:10" ht="36">
      <c r="A825" s="26"/>
      <c r="B825" s="151" t="s">
        <v>199</v>
      </c>
      <c r="C825" s="10" t="s">
        <v>15</v>
      </c>
      <c r="D825" s="10" t="s">
        <v>52</v>
      </c>
      <c r="E825" s="10" t="s">
        <v>79</v>
      </c>
      <c r="F825" s="10" t="s">
        <v>531</v>
      </c>
      <c r="G825" s="10" t="s">
        <v>192</v>
      </c>
      <c r="H825" s="79">
        <v>97.9</v>
      </c>
      <c r="I825" s="79">
        <v>0</v>
      </c>
      <c r="J825" s="245">
        <v>0</v>
      </c>
    </row>
    <row r="826" spans="1:10" ht="56.25">
      <c r="A826" s="26"/>
      <c r="B826" s="95" t="s">
        <v>485</v>
      </c>
      <c r="C826" s="11" t="s">
        <v>15</v>
      </c>
      <c r="D826" s="11" t="s">
        <v>52</v>
      </c>
      <c r="E826" s="1" t="s">
        <v>79</v>
      </c>
      <c r="F826" s="1" t="s">
        <v>484</v>
      </c>
      <c r="G826" s="1"/>
      <c r="H826" s="62">
        <f>H827+H830</f>
        <v>19894.6</v>
      </c>
      <c r="I826" s="62">
        <f>I827+I830</f>
        <v>13963.5</v>
      </c>
      <c r="J826" s="188">
        <f>J827+J830</f>
        <v>15008.2</v>
      </c>
    </row>
    <row r="827" spans="1:10" ht="37.5">
      <c r="A827" s="26"/>
      <c r="B827" s="110" t="s">
        <v>224</v>
      </c>
      <c r="C827" s="22" t="s">
        <v>15</v>
      </c>
      <c r="D827" s="22" t="s">
        <v>52</v>
      </c>
      <c r="E827" s="23" t="s">
        <v>79</v>
      </c>
      <c r="F827" s="23" t="s">
        <v>511</v>
      </c>
      <c r="G827" s="23"/>
      <c r="H827" s="66">
        <f>SUM(H828:H829)</f>
        <v>18157.8</v>
      </c>
      <c r="I827" s="66">
        <f>SUM(I828:I828)</f>
        <v>13963.5</v>
      </c>
      <c r="J827" s="186">
        <f>SUM(J828:J828)</f>
        <v>15008.2</v>
      </c>
    </row>
    <row r="828" spans="1:10" ht="36">
      <c r="A828" s="26"/>
      <c r="B828" s="148" t="s">
        <v>199</v>
      </c>
      <c r="C828" s="7" t="s">
        <v>15</v>
      </c>
      <c r="D828" s="7" t="s">
        <v>52</v>
      </c>
      <c r="E828" s="7" t="s">
        <v>79</v>
      </c>
      <c r="F828" s="7" t="s">
        <v>511</v>
      </c>
      <c r="G828" s="7" t="s">
        <v>192</v>
      </c>
      <c r="H828" s="120">
        <f>128.1+20000-200-533.5-3910.2+290.7-2988.1-148.1-3999.8</f>
        <v>8639.099999999999</v>
      </c>
      <c r="I828" s="120">
        <f>128.1+20000-200-1359.6-3910.2-694.8</f>
        <v>13963.5</v>
      </c>
      <c r="J828" s="266">
        <f>128.1+20000-200-1359.6-3910.2-694.8+1044.7</f>
        <v>15008.2</v>
      </c>
    </row>
    <row r="829" spans="1:10" ht="36">
      <c r="A829" s="26"/>
      <c r="B829" s="93" t="s">
        <v>204</v>
      </c>
      <c r="C829" s="9" t="s">
        <v>15</v>
      </c>
      <c r="D829" s="9" t="s">
        <v>52</v>
      </c>
      <c r="E829" s="9" t="s">
        <v>79</v>
      </c>
      <c r="F829" s="9" t="s">
        <v>511</v>
      </c>
      <c r="G829" s="9" t="s">
        <v>196</v>
      </c>
      <c r="H829" s="70">
        <f>2988.1+148+6382.6</f>
        <v>9518.7</v>
      </c>
      <c r="I829" s="70">
        <v>0</v>
      </c>
      <c r="J829" s="13">
        <v>0</v>
      </c>
    </row>
    <row r="830" spans="1:10" ht="37.5">
      <c r="A830" s="26"/>
      <c r="B830" s="108" t="s">
        <v>229</v>
      </c>
      <c r="C830" s="11" t="s">
        <v>15</v>
      </c>
      <c r="D830" s="11" t="s">
        <v>52</v>
      </c>
      <c r="E830" s="1" t="s">
        <v>79</v>
      </c>
      <c r="F830" s="1" t="s">
        <v>487</v>
      </c>
      <c r="G830" s="1"/>
      <c r="H830" s="62">
        <f>SUM(H831:H832)</f>
        <v>1736.8</v>
      </c>
      <c r="I830" s="62">
        <f>SUM(I831:I832)</f>
        <v>0</v>
      </c>
      <c r="J830" s="188">
        <f>SUM(J831:J832)</f>
        <v>0</v>
      </c>
    </row>
    <row r="831" spans="1:10" ht="36">
      <c r="A831" s="26"/>
      <c r="B831" s="92" t="s">
        <v>199</v>
      </c>
      <c r="C831" s="21" t="s">
        <v>15</v>
      </c>
      <c r="D831" s="21" t="s">
        <v>52</v>
      </c>
      <c r="E831" s="21" t="s">
        <v>79</v>
      </c>
      <c r="F831" s="21" t="s">
        <v>487</v>
      </c>
      <c r="G831" s="21" t="s">
        <v>192</v>
      </c>
      <c r="H831" s="68">
        <f>71+1350</f>
        <v>1421</v>
      </c>
      <c r="I831" s="68">
        <v>0</v>
      </c>
      <c r="J831" s="99">
        <v>0</v>
      </c>
    </row>
    <row r="832" spans="1:10" ht="36">
      <c r="A832" s="26"/>
      <c r="B832" s="148" t="s">
        <v>204</v>
      </c>
      <c r="C832" s="7" t="s">
        <v>15</v>
      </c>
      <c r="D832" s="7" t="s">
        <v>52</v>
      </c>
      <c r="E832" s="7" t="s">
        <v>79</v>
      </c>
      <c r="F832" s="7" t="s">
        <v>487</v>
      </c>
      <c r="G832" s="7" t="s">
        <v>196</v>
      </c>
      <c r="H832" s="120">
        <f>15.8+300</f>
        <v>315.8</v>
      </c>
      <c r="I832" s="120">
        <v>0</v>
      </c>
      <c r="J832" s="266">
        <v>0</v>
      </c>
    </row>
    <row r="833" spans="1:10" ht="18.75">
      <c r="A833" s="26"/>
      <c r="B833" s="95" t="s">
        <v>618</v>
      </c>
      <c r="C833" s="11" t="s">
        <v>15</v>
      </c>
      <c r="D833" s="11" t="s">
        <v>52</v>
      </c>
      <c r="E833" s="1" t="s">
        <v>79</v>
      </c>
      <c r="F833" s="1" t="s">
        <v>617</v>
      </c>
      <c r="G833" s="1"/>
      <c r="H833" s="62">
        <f>H834</f>
        <v>8766</v>
      </c>
      <c r="I833" s="62">
        <f>I834</f>
        <v>35766</v>
      </c>
      <c r="J833" s="188">
        <f>J834</f>
        <v>8766</v>
      </c>
    </row>
    <row r="834" spans="1:10" ht="37.5">
      <c r="A834" s="26"/>
      <c r="B834" s="96" t="s">
        <v>624</v>
      </c>
      <c r="C834" s="11" t="s">
        <v>15</v>
      </c>
      <c r="D834" s="11" t="s">
        <v>52</v>
      </c>
      <c r="E834" s="1" t="s">
        <v>79</v>
      </c>
      <c r="F834" s="1" t="s">
        <v>622</v>
      </c>
      <c r="G834" s="1"/>
      <c r="H834" s="62">
        <f>H835+H838</f>
        <v>8766</v>
      </c>
      <c r="I834" s="62">
        <f>I835+I838</f>
        <v>35766</v>
      </c>
      <c r="J834" s="188">
        <f>J835+J838</f>
        <v>8766</v>
      </c>
    </row>
    <row r="835" spans="1:10" ht="56.25">
      <c r="A835" s="26"/>
      <c r="B835" s="96" t="s">
        <v>559</v>
      </c>
      <c r="C835" s="22" t="s">
        <v>15</v>
      </c>
      <c r="D835" s="22" t="s">
        <v>52</v>
      </c>
      <c r="E835" s="23" t="s">
        <v>79</v>
      </c>
      <c r="F835" s="23" t="s">
        <v>623</v>
      </c>
      <c r="G835" s="23"/>
      <c r="H835" s="66">
        <f>SUM(H836:H837)</f>
        <v>8766</v>
      </c>
      <c r="I835" s="66">
        <f>SUM(I836:I837)</f>
        <v>8766</v>
      </c>
      <c r="J835" s="66">
        <f>SUM(J836:J837)</f>
        <v>8766</v>
      </c>
    </row>
    <row r="836" spans="1:10" ht="36">
      <c r="A836" s="26"/>
      <c r="B836" s="92" t="s">
        <v>199</v>
      </c>
      <c r="C836" s="21" t="s">
        <v>15</v>
      </c>
      <c r="D836" s="21" t="s">
        <v>52</v>
      </c>
      <c r="E836" s="21" t="s">
        <v>79</v>
      </c>
      <c r="F836" s="21" t="s">
        <v>623</v>
      </c>
      <c r="G836" s="21" t="s">
        <v>192</v>
      </c>
      <c r="H836" s="68">
        <f>843.8+32.8+7889.4-585</f>
        <v>8181</v>
      </c>
      <c r="I836" s="68">
        <f>928.2+36.1+7801.7</f>
        <v>8766</v>
      </c>
      <c r="J836" s="99">
        <f>928.2+123.7+7714.1</f>
        <v>8766</v>
      </c>
    </row>
    <row r="837" spans="1:10" ht="36">
      <c r="A837" s="26"/>
      <c r="B837" s="148" t="s">
        <v>204</v>
      </c>
      <c r="C837" s="10" t="s">
        <v>15</v>
      </c>
      <c r="D837" s="10" t="s">
        <v>52</v>
      </c>
      <c r="E837" s="10" t="s">
        <v>79</v>
      </c>
      <c r="F837" s="10" t="s">
        <v>623</v>
      </c>
      <c r="G837" s="10" t="s">
        <v>196</v>
      </c>
      <c r="H837" s="120">
        <v>585</v>
      </c>
      <c r="I837" s="120">
        <v>0</v>
      </c>
      <c r="J837" s="266">
        <v>0</v>
      </c>
    </row>
    <row r="838" spans="1:10" ht="56.25">
      <c r="A838" s="26"/>
      <c r="B838" s="98" t="s">
        <v>569</v>
      </c>
      <c r="C838" s="29" t="s">
        <v>15</v>
      </c>
      <c r="D838" s="29" t="s">
        <v>52</v>
      </c>
      <c r="E838" s="30" t="s">
        <v>79</v>
      </c>
      <c r="F838" s="30" t="s">
        <v>628</v>
      </c>
      <c r="G838" s="30"/>
      <c r="H838" s="65">
        <f>SUM(H839:H839)</f>
        <v>0</v>
      </c>
      <c r="I838" s="65">
        <f>SUM(I839:I839)</f>
        <v>27000</v>
      </c>
      <c r="J838" s="100">
        <f>SUM(J839:J839)</f>
        <v>0</v>
      </c>
    </row>
    <row r="839" spans="1:10" ht="36">
      <c r="A839" s="26"/>
      <c r="B839" s="93" t="s">
        <v>199</v>
      </c>
      <c r="C839" s="9" t="s">
        <v>15</v>
      </c>
      <c r="D839" s="9" t="s">
        <v>52</v>
      </c>
      <c r="E839" s="9" t="s">
        <v>79</v>
      </c>
      <c r="F839" s="9" t="s">
        <v>628</v>
      </c>
      <c r="G839" s="9" t="s">
        <v>192</v>
      </c>
      <c r="H839" s="70">
        <v>0</v>
      </c>
      <c r="I839" s="70">
        <f>2970+24030</f>
        <v>27000</v>
      </c>
      <c r="J839" s="13">
        <v>0</v>
      </c>
    </row>
    <row r="840" spans="1:10" ht="56.25">
      <c r="A840" s="26"/>
      <c r="B840" s="108" t="s">
        <v>13</v>
      </c>
      <c r="C840" s="11" t="s">
        <v>15</v>
      </c>
      <c r="D840" s="11" t="s">
        <v>52</v>
      </c>
      <c r="E840" s="1" t="s">
        <v>79</v>
      </c>
      <c r="F840" s="1" t="s">
        <v>414</v>
      </c>
      <c r="G840" s="1"/>
      <c r="H840" s="62">
        <f>H841</f>
        <v>31.8</v>
      </c>
      <c r="I840" s="62">
        <f>I841</f>
        <v>538</v>
      </c>
      <c r="J840" s="188">
        <f>J841</f>
        <v>538</v>
      </c>
    </row>
    <row r="841" spans="1:10" ht="18.75">
      <c r="A841" s="26"/>
      <c r="B841" s="108" t="s">
        <v>294</v>
      </c>
      <c r="C841" s="11" t="s">
        <v>15</v>
      </c>
      <c r="D841" s="11" t="s">
        <v>52</v>
      </c>
      <c r="E841" s="1" t="s">
        <v>79</v>
      </c>
      <c r="F841" s="1" t="s">
        <v>416</v>
      </c>
      <c r="G841" s="1"/>
      <c r="H841" s="62">
        <f>H842+H846</f>
        <v>31.8</v>
      </c>
      <c r="I841" s="62">
        <f>I842+I846</f>
        <v>538</v>
      </c>
      <c r="J841" s="188">
        <f>J842+J846</f>
        <v>538</v>
      </c>
    </row>
    <row r="842" spans="1:10" ht="56.25">
      <c r="A842" s="26"/>
      <c r="B842" s="108" t="s">
        <v>683</v>
      </c>
      <c r="C842" s="11" t="s">
        <v>15</v>
      </c>
      <c r="D842" s="11" t="s">
        <v>52</v>
      </c>
      <c r="E842" s="1" t="s">
        <v>79</v>
      </c>
      <c r="F842" s="1" t="s">
        <v>488</v>
      </c>
      <c r="G842" s="1"/>
      <c r="H842" s="62">
        <f>H843</f>
        <v>31.8</v>
      </c>
      <c r="I842" s="62">
        <f>I843</f>
        <v>132</v>
      </c>
      <c r="J842" s="188">
        <f>J843</f>
        <v>132</v>
      </c>
    </row>
    <row r="843" spans="1:10" ht="37.5">
      <c r="A843" s="26"/>
      <c r="B843" s="108" t="s">
        <v>674</v>
      </c>
      <c r="C843" s="11" t="s">
        <v>15</v>
      </c>
      <c r="D843" s="11" t="s">
        <v>52</v>
      </c>
      <c r="E843" s="1" t="s">
        <v>79</v>
      </c>
      <c r="F843" s="1" t="s">
        <v>512</v>
      </c>
      <c r="G843" s="1"/>
      <c r="H843" s="62">
        <f>SUM(H844:H845)</f>
        <v>31.8</v>
      </c>
      <c r="I843" s="62">
        <f>SUM(I844:I845)</f>
        <v>132</v>
      </c>
      <c r="J843" s="188">
        <f>SUM(J844:J845)</f>
        <v>132</v>
      </c>
    </row>
    <row r="844" spans="1:10" ht="36">
      <c r="A844" s="26"/>
      <c r="B844" s="92" t="s">
        <v>199</v>
      </c>
      <c r="C844" s="21" t="s">
        <v>15</v>
      </c>
      <c r="D844" s="21" t="s">
        <v>52</v>
      </c>
      <c r="E844" s="21" t="s">
        <v>79</v>
      </c>
      <c r="F844" s="21" t="s">
        <v>512</v>
      </c>
      <c r="G844" s="21" t="s">
        <v>192</v>
      </c>
      <c r="H844" s="68">
        <f>101-95</f>
        <v>6</v>
      </c>
      <c r="I844" s="68">
        <v>132</v>
      </c>
      <c r="J844" s="99">
        <v>132</v>
      </c>
    </row>
    <row r="845" spans="1:10" ht="36">
      <c r="A845" s="26"/>
      <c r="B845" s="93" t="s">
        <v>204</v>
      </c>
      <c r="C845" s="9" t="s">
        <v>15</v>
      </c>
      <c r="D845" s="9" t="s">
        <v>52</v>
      </c>
      <c r="E845" s="9" t="s">
        <v>79</v>
      </c>
      <c r="F845" s="9" t="s">
        <v>512</v>
      </c>
      <c r="G845" s="9" t="s">
        <v>196</v>
      </c>
      <c r="H845" s="70">
        <v>25.8</v>
      </c>
      <c r="I845" s="70">
        <v>0</v>
      </c>
      <c r="J845" s="13">
        <v>0</v>
      </c>
    </row>
    <row r="846" spans="1:10" ht="37.5">
      <c r="A846" s="26"/>
      <c r="B846" s="108" t="s">
        <v>679</v>
      </c>
      <c r="C846" s="11" t="s">
        <v>15</v>
      </c>
      <c r="D846" s="11" t="s">
        <v>52</v>
      </c>
      <c r="E846" s="1" t="s">
        <v>79</v>
      </c>
      <c r="F846" s="1" t="s">
        <v>497</v>
      </c>
      <c r="G846" s="1"/>
      <c r="H846" s="62">
        <f>H847</f>
        <v>0</v>
      </c>
      <c r="I846" s="62">
        <f>I847</f>
        <v>406</v>
      </c>
      <c r="J846" s="188">
        <f>J847</f>
        <v>406</v>
      </c>
    </row>
    <row r="847" spans="1:10" ht="18.75">
      <c r="A847" s="26"/>
      <c r="B847" s="108" t="s">
        <v>212</v>
      </c>
      <c r="C847" s="11" t="s">
        <v>15</v>
      </c>
      <c r="D847" s="11" t="s">
        <v>52</v>
      </c>
      <c r="E847" s="1" t="s">
        <v>79</v>
      </c>
      <c r="F847" s="1" t="s">
        <v>499</v>
      </c>
      <c r="G847" s="1"/>
      <c r="H847" s="62">
        <f>SUM(H848:H848)</f>
        <v>0</v>
      </c>
      <c r="I847" s="62">
        <f>SUM(I848:I848)</f>
        <v>406</v>
      </c>
      <c r="J847" s="188">
        <f>SUM(J848:J848)</f>
        <v>406</v>
      </c>
    </row>
    <row r="848" spans="1:10" ht="36">
      <c r="A848" s="26"/>
      <c r="B848" s="111" t="s">
        <v>199</v>
      </c>
      <c r="C848" s="9" t="s">
        <v>15</v>
      </c>
      <c r="D848" s="9" t="s">
        <v>52</v>
      </c>
      <c r="E848" s="9" t="s">
        <v>79</v>
      </c>
      <c r="F848" s="9" t="s">
        <v>499</v>
      </c>
      <c r="G848" s="9" t="s">
        <v>192</v>
      </c>
      <c r="H848" s="70">
        <v>0</v>
      </c>
      <c r="I848" s="70">
        <v>406</v>
      </c>
      <c r="J848" s="13">
        <v>406</v>
      </c>
    </row>
    <row r="849" spans="1:10" ht="18.75">
      <c r="A849" s="26"/>
      <c r="B849" s="116" t="s">
        <v>26</v>
      </c>
      <c r="C849" s="14" t="s">
        <v>15</v>
      </c>
      <c r="D849" s="14" t="s">
        <v>52</v>
      </c>
      <c r="E849" s="14" t="s">
        <v>79</v>
      </c>
      <c r="F849" s="14" t="s">
        <v>88</v>
      </c>
      <c r="G849" s="28"/>
      <c r="H849" s="66">
        <f aca="true" t="shared" si="81" ref="H849:J851">H850</f>
        <v>1398.9</v>
      </c>
      <c r="I849" s="66">
        <f t="shared" si="81"/>
        <v>0</v>
      </c>
      <c r="J849" s="186">
        <f t="shared" si="81"/>
        <v>0</v>
      </c>
    </row>
    <row r="850" spans="1:10" ht="18.75">
      <c r="A850" s="26"/>
      <c r="B850" s="116" t="s">
        <v>35</v>
      </c>
      <c r="C850" s="14" t="s">
        <v>15</v>
      </c>
      <c r="D850" s="14" t="s">
        <v>52</v>
      </c>
      <c r="E850" s="14" t="s">
        <v>79</v>
      </c>
      <c r="F850" s="222" t="s">
        <v>89</v>
      </c>
      <c r="G850" s="28"/>
      <c r="H850" s="66">
        <f t="shared" si="81"/>
        <v>1398.9</v>
      </c>
      <c r="I850" s="66">
        <f t="shared" si="81"/>
        <v>0</v>
      </c>
      <c r="J850" s="186">
        <f t="shared" si="81"/>
        <v>0</v>
      </c>
    </row>
    <row r="851" spans="1:10" ht="18.75">
      <c r="A851" s="26"/>
      <c r="B851" s="116" t="s">
        <v>35</v>
      </c>
      <c r="C851" s="14" t="s">
        <v>15</v>
      </c>
      <c r="D851" s="14" t="s">
        <v>52</v>
      </c>
      <c r="E851" s="14" t="s">
        <v>79</v>
      </c>
      <c r="F851" s="222" t="s">
        <v>90</v>
      </c>
      <c r="G851" s="28"/>
      <c r="H851" s="66">
        <f t="shared" si="81"/>
        <v>1398.9</v>
      </c>
      <c r="I851" s="66">
        <f t="shared" si="81"/>
        <v>0</v>
      </c>
      <c r="J851" s="186">
        <f t="shared" si="81"/>
        <v>0</v>
      </c>
    </row>
    <row r="852" spans="1:10" ht="37.5">
      <c r="A852" s="26"/>
      <c r="B852" s="95" t="s">
        <v>297</v>
      </c>
      <c r="C852" s="48" t="s">
        <v>15</v>
      </c>
      <c r="D852" s="48" t="s">
        <v>52</v>
      </c>
      <c r="E852" s="48" t="s">
        <v>79</v>
      </c>
      <c r="F852" s="48" t="s">
        <v>413</v>
      </c>
      <c r="G852" s="12"/>
      <c r="H852" s="62">
        <f>H854+H853</f>
        <v>1398.9</v>
      </c>
      <c r="I852" s="62">
        <f>I854+I853</f>
        <v>0</v>
      </c>
      <c r="J852" s="188">
        <f>J854+J853</f>
        <v>0</v>
      </c>
    </row>
    <row r="853" spans="1:10" ht="36">
      <c r="A853" s="26"/>
      <c r="B853" s="92" t="s">
        <v>199</v>
      </c>
      <c r="C853" s="2" t="s">
        <v>15</v>
      </c>
      <c r="D853" s="2" t="s">
        <v>52</v>
      </c>
      <c r="E853" s="2" t="s">
        <v>79</v>
      </c>
      <c r="F853" s="2" t="s">
        <v>413</v>
      </c>
      <c r="G853" s="21" t="s">
        <v>192</v>
      </c>
      <c r="H853" s="68">
        <f>299.8+399.1+200+200</f>
        <v>1098.9</v>
      </c>
      <c r="I853" s="68">
        <v>0</v>
      </c>
      <c r="J853" s="99">
        <v>0</v>
      </c>
    </row>
    <row r="854" spans="1:10" ht="36">
      <c r="A854" s="26"/>
      <c r="B854" s="225" t="s">
        <v>204</v>
      </c>
      <c r="C854" s="54" t="s">
        <v>15</v>
      </c>
      <c r="D854" s="54" t="s">
        <v>52</v>
      </c>
      <c r="E854" s="54" t="s">
        <v>79</v>
      </c>
      <c r="F854" s="54" t="s">
        <v>413</v>
      </c>
      <c r="G854" s="9" t="s">
        <v>196</v>
      </c>
      <c r="H854" s="70">
        <f>100+100+100</f>
        <v>300</v>
      </c>
      <c r="I854" s="70">
        <v>0</v>
      </c>
      <c r="J854" s="13">
        <v>0</v>
      </c>
    </row>
    <row r="855" spans="1:10" ht="18.75">
      <c r="A855" s="26"/>
      <c r="B855" s="96" t="s">
        <v>171</v>
      </c>
      <c r="C855" s="11" t="s">
        <v>15</v>
      </c>
      <c r="D855" s="11" t="s">
        <v>52</v>
      </c>
      <c r="E855" s="1" t="s">
        <v>53</v>
      </c>
      <c r="F855" s="1"/>
      <c r="G855" s="1"/>
      <c r="H855" s="62">
        <f>H856+H901</f>
        <v>125740.79999999999</v>
      </c>
      <c r="I855" s="62">
        <f>I856+I901</f>
        <v>128795.6</v>
      </c>
      <c r="J855" s="188">
        <f>J856+J901</f>
        <v>128795.6</v>
      </c>
    </row>
    <row r="856" spans="1:10" ht="37.5">
      <c r="A856" s="26"/>
      <c r="B856" s="96" t="s">
        <v>160</v>
      </c>
      <c r="C856" s="11" t="s">
        <v>15</v>
      </c>
      <c r="D856" s="11" t="s">
        <v>52</v>
      </c>
      <c r="E856" s="1" t="s">
        <v>53</v>
      </c>
      <c r="F856" s="1" t="s">
        <v>338</v>
      </c>
      <c r="G856" s="1"/>
      <c r="H856" s="62">
        <f>H861+H896+H857</f>
        <v>125640.79999999999</v>
      </c>
      <c r="I856" s="62">
        <f>I861+I896+I857</f>
        <v>127973.6</v>
      </c>
      <c r="J856" s="188">
        <f>J861+J896+J857</f>
        <v>127973.6</v>
      </c>
    </row>
    <row r="857" spans="1:10" ht="18.75">
      <c r="A857" s="26"/>
      <c r="B857" s="213" t="s">
        <v>607</v>
      </c>
      <c r="C857" s="11" t="s">
        <v>15</v>
      </c>
      <c r="D857" s="11" t="s">
        <v>52</v>
      </c>
      <c r="E857" s="1" t="s">
        <v>53</v>
      </c>
      <c r="F857" s="1" t="s">
        <v>587</v>
      </c>
      <c r="G857" s="1"/>
      <c r="H857" s="62">
        <f aca="true" t="shared" si="82" ref="H857:J859">H858</f>
        <v>971.2</v>
      </c>
      <c r="I857" s="62">
        <f t="shared" si="82"/>
        <v>0</v>
      </c>
      <c r="J857" s="188">
        <f t="shared" si="82"/>
        <v>0</v>
      </c>
    </row>
    <row r="858" spans="1:10" ht="18.75">
      <c r="A858" s="26"/>
      <c r="B858" s="213" t="s">
        <v>689</v>
      </c>
      <c r="C858" s="11" t="s">
        <v>15</v>
      </c>
      <c r="D858" s="11" t="s">
        <v>52</v>
      </c>
      <c r="E858" s="1" t="s">
        <v>53</v>
      </c>
      <c r="F858" s="1" t="s">
        <v>728</v>
      </c>
      <c r="G858" s="1"/>
      <c r="H858" s="62">
        <f t="shared" si="82"/>
        <v>971.2</v>
      </c>
      <c r="I858" s="62">
        <f t="shared" si="82"/>
        <v>0</v>
      </c>
      <c r="J858" s="188">
        <f t="shared" si="82"/>
        <v>0</v>
      </c>
    </row>
    <row r="859" spans="1:10" ht="93.75">
      <c r="A859" s="26"/>
      <c r="B859" s="226" t="s">
        <v>692</v>
      </c>
      <c r="C859" s="29" t="s">
        <v>15</v>
      </c>
      <c r="D859" s="29" t="s">
        <v>52</v>
      </c>
      <c r="E859" s="30" t="s">
        <v>53</v>
      </c>
      <c r="F859" s="30" t="s">
        <v>729</v>
      </c>
      <c r="G859" s="1"/>
      <c r="H859" s="62">
        <f t="shared" si="82"/>
        <v>971.2</v>
      </c>
      <c r="I859" s="62">
        <f t="shared" si="82"/>
        <v>0</v>
      </c>
      <c r="J859" s="188">
        <f t="shared" si="82"/>
        <v>0</v>
      </c>
    </row>
    <row r="860" spans="1:10" ht="36">
      <c r="A860" s="26"/>
      <c r="B860" s="111" t="s">
        <v>199</v>
      </c>
      <c r="C860" s="7" t="s">
        <v>15</v>
      </c>
      <c r="D860" s="7" t="s">
        <v>52</v>
      </c>
      <c r="E860" s="7" t="s">
        <v>53</v>
      </c>
      <c r="F860" s="7" t="s">
        <v>729</v>
      </c>
      <c r="G860" s="9" t="s">
        <v>192</v>
      </c>
      <c r="H860" s="70">
        <f>874.1+97.1</f>
        <v>971.2</v>
      </c>
      <c r="I860" s="70">
        <v>0</v>
      </c>
      <c r="J860" s="13">
        <v>0</v>
      </c>
    </row>
    <row r="861" spans="1:10" ht="18.75">
      <c r="A861" s="26"/>
      <c r="B861" s="95" t="s">
        <v>294</v>
      </c>
      <c r="C861" s="11" t="s">
        <v>15</v>
      </c>
      <c r="D861" s="11" t="s">
        <v>52</v>
      </c>
      <c r="E861" s="1" t="s">
        <v>53</v>
      </c>
      <c r="F861" s="1" t="s">
        <v>359</v>
      </c>
      <c r="G861" s="1"/>
      <c r="H861" s="62">
        <f>H862+H871+H879+H892+H876</f>
        <v>122235.99999999999</v>
      </c>
      <c r="I861" s="62">
        <f>I862+I871+I879+I892+I876</f>
        <v>125540</v>
      </c>
      <c r="J861" s="62">
        <f>J862+J871+J879+J892+J876</f>
        <v>125540</v>
      </c>
    </row>
    <row r="862" spans="1:10" ht="37.5">
      <c r="A862" s="26"/>
      <c r="B862" s="95" t="s">
        <v>465</v>
      </c>
      <c r="C862" s="11" t="s">
        <v>15</v>
      </c>
      <c r="D862" s="11" t="s">
        <v>52</v>
      </c>
      <c r="E862" s="1" t="s">
        <v>53</v>
      </c>
      <c r="F862" s="1" t="s">
        <v>463</v>
      </c>
      <c r="G862" s="1"/>
      <c r="H862" s="62">
        <f>H863+H868</f>
        <v>117067.29999999999</v>
      </c>
      <c r="I862" s="62">
        <f>I863+I868</f>
        <v>116302.4</v>
      </c>
      <c r="J862" s="188">
        <f>J863+J868</f>
        <v>116302.4</v>
      </c>
    </row>
    <row r="863" spans="1:10" ht="37.5">
      <c r="A863" s="26"/>
      <c r="B863" s="110" t="s">
        <v>297</v>
      </c>
      <c r="C863" s="22" t="s">
        <v>15</v>
      </c>
      <c r="D863" s="22" t="s">
        <v>52</v>
      </c>
      <c r="E863" s="23" t="s">
        <v>53</v>
      </c>
      <c r="F863" s="23" t="s">
        <v>506</v>
      </c>
      <c r="G863" s="23"/>
      <c r="H863" s="63">
        <f>H864+H865+H866+H867</f>
        <v>87082.4</v>
      </c>
      <c r="I863" s="63">
        <f>I864+I865+I866+I867</f>
        <v>82839.9</v>
      </c>
      <c r="J863" s="246">
        <f>J864+J865+J866+J867</f>
        <v>82839.9</v>
      </c>
    </row>
    <row r="864" spans="1:10" ht="54">
      <c r="A864" s="26"/>
      <c r="B864" s="92" t="s">
        <v>201</v>
      </c>
      <c r="C864" s="21" t="s">
        <v>15</v>
      </c>
      <c r="D864" s="21" t="s">
        <v>52</v>
      </c>
      <c r="E864" s="21" t="s">
        <v>53</v>
      </c>
      <c r="F864" s="21" t="s">
        <v>506</v>
      </c>
      <c r="G864" s="21" t="s">
        <v>191</v>
      </c>
      <c r="H864" s="85">
        <f>10059+472.8+178.5</f>
        <v>10710.3</v>
      </c>
      <c r="I864" s="85">
        <v>10059</v>
      </c>
      <c r="J864" s="228">
        <v>10059</v>
      </c>
    </row>
    <row r="865" spans="1:10" ht="36">
      <c r="A865" s="26"/>
      <c r="B865" s="102" t="s">
        <v>199</v>
      </c>
      <c r="C865" s="20" t="s">
        <v>15</v>
      </c>
      <c r="D865" s="20" t="s">
        <v>52</v>
      </c>
      <c r="E865" s="20" t="s">
        <v>53</v>
      </c>
      <c r="F865" s="20" t="s">
        <v>506</v>
      </c>
      <c r="G865" s="20" t="s">
        <v>192</v>
      </c>
      <c r="H865" s="82">
        <f>3273.2+0.3+46.6-9.2</f>
        <v>3310.9</v>
      </c>
      <c r="I865" s="82">
        <v>3273.2</v>
      </c>
      <c r="J865" s="259">
        <v>3273.2</v>
      </c>
    </row>
    <row r="866" spans="1:10" ht="36">
      <c r="A866" s="26"/>
      <c r="B866" s="102" t="s">
        <v>204</v>
      </c>
      <c r="C866" s="20" t="s">
        <v>15</v>
      </c>
      <c r="D866" s="20" t="s">
        <v>52</v>
      </c>
      <c r="E866" s="20" t="s">
        <v>53</v>
      </c>
      <c r="F866" s="20" t="s">
        <v>506</v>
      </c>
      <c r="G866" s="20" t="s">
        <v>196</v>
      </c>
      <c r="H866" s="69">
        <f>69505.3+3083.7+9.2+460.6</f>
        <v>73058.8</v>
      </c>
      <c r="I866" s="69">
        <v>69505.3</v>
      </c>
      <c r="J866" s="234">
        <v>69505.3</v>
      </c>
    </row>
    <row r="867" spans="1:10" ht="18">
      <c r="A867" s="26"/>
      <c r="B867" s="93" t="s">
        <v>200</v>
      </c>
      <c r="C867" s="9" t="s">
        <v>15</v>
      </c>
      <c r="D867" s="9" t="s">
        <v>52</v>
      </c>
      <c r="E867" s="9" t="s">
        <v>53</v>
      </c>
      <c r="F867" s="9" t="s">
        <v>506</v>
      </c>
      <c r="G867" s="9" t="s">
        <v>194</v>
      </c>
      <c r="H867" s="74">
        <v>2.4</v>
      </c>
      <c r="I867" s="74">
        <v>2.4</v>
      </c>
      <c r="J867" s="197">
        <v>2.4</v>
      </c>
    </row>
    <row r="868" spans="1:10" ht="37.5">
      <c r="A868" s="26"/>
      <c r="B868" s="110" t="s">
        <v>227</v>
      </c>
      <c r="C868" s="22" t="s">
        <v>15</v>
      </c>
      <c r="D868" s="22" t="s">
        <v>52</v>
      </c>
      <c r="E868" s="23" t="s">
        <v>53</v>
      </c>
      <c r="F868" s="23" t="s">
        <v>507</v>
      </c>
      <c r="G868" s="23"/>
      <c r="H868" s="63">
        <f>H869+H870</f>
        <v>29984.899999999998</v>
      </c>
      <c r="I868" s="63">
        <f>I869+I870</f>
        <v>33462.5</v>
      </c>
      <c r="J868" s="246">
        <f>J869+J870</f>
        <v>33462.5</v>
      </c>
    </row>
    <row r="869" spans="1:10" ht="36">
      <c r="A869" s="26"/>
      <c r="B869" s="92" t="s">
        <v>204</v>
      </c>
      <c r="C869" s="21" t="s">
        <v>15</v>
      </c>
      <c r="D869" s="21" t="s">
        <v>52</v>
      </c>
      <c r="E869" s="21" t="s">
        <v>53</v>
      </c>
      <c r="F869" s="21" t="s">
        <v>507</v>
      </c>
      <c r="G869" s="21" t="s">
        <v>196</v>
      </c>
      <c r="H869" s="68">
        <f>33111.1-3431</f>
        <v>29680.1</v>
      </c>
      <c r="I869" s="68">
        <f>33111.1</f>
        <v>33111.1</v>
      </c>
      <c r="J869" s="99">
        <f>33111.1</f>
        <v>33111.1</v>
      </c>
    </row>
    <row r="870" spans="1:10" ht="18">
      <c r="A870" s="26"/>
      <c r="B870" s="93" t="s">
        <v>583</v>
      </c>
      <c r="C870" s="9" t="s">
        <v>15</v>
      </c>
      <c r="D870" s="9" t="s">
        <v>52</v>
      </c>
      <c r="E870" s="9" t="s">
        <v>53</v>
      </c>
      <c r="F870" s="9" t="s">
        <v>507</v>
      </c>
      <c r="G870" s="9" t="s">
        <v>194</v>
      </c>
      <c r="H870" s="70">
        <f>351.4-46.6</f>
        <v>304.79999999999995</v>
      </c>
      <c r="I870" s="70">
        <v>351.4</v>
      </c>
      <c r="J870" s="13">
        <v>351.4</v>
      </c>
    </row>
    <row r="871" spans="1:10" ht="37.5">
      <c r="A871" s="26"/>
      <c r="B871" s="95" t="s">
        <v>478</v>
      </c>
      <c r="C871" s="11" t="s">
        <v>15</v>
      </c>
      <c r="D871" s="11" t="s">
        <v>52</v>
      </c>
      <c r="E871" s="1" t="s">
        <v>53</v>
      </c>
      <c r="F871" s="1" t="s">
        <v>477</v>
      </c>
      <c r="G871" s="1"/>
      <c r="H871" s="62">
        <f>H874+H872</f>
        <v>156.7</v>
      </c>
      <c r="I871" s="62">
        <f>I874+I872</f>
        <v>79</v>
      </c>
      <c r="J871" s="188">
        <f>J874+J872</f>
        <v>79</v>
      </c>
    </row>
    <row r="872" spans="1:12" ht="37.5">
      <c r="A872" s="26"/>
      <c r="B872" s="95" t="s">
        <v>188</v>
      </c>
      <c r="C872" s="11" t="s">
        <v>15</v>
      </c>
      <c r="D872" s="11" t="s">
        <v>52</v>
      </c>
      <c r="E872" s="1" t="s">
        <v>53</v>
      </c>
      <c r="F872" s="1" t="s">
        <v>526</v>
      </c>
      <c r="G872" s="1"/>
      <c r="H872" s="62">
        <f>H873</f>
        <v>77.7</v>
      </c>
      <c r="I872" s="62">
        <f>I873</f>
        <v>0</v>
      </c>
      <c r="J872" s="188">
        <f>J873</f>
        <v>0</v>
      </c>
      <c r="L872" s="204"/>
    </row>
    <row r="873" spans="1:10" ht="36">
      <c r="A873" s="26"/>
      <c r="B873" s="92" t="s">
        <v>204</v>
      </c>
      <c r="C873" s="12" t="s">
        <v>15</v>
      </c>
      <c r="D873" s="12" t="s">
        <v>52</v>
      </c>
      <c r="E873" s="12" t="s">
        <v>53</v>
      </c>
      <c r="F873" s="12" t="s">
        <v>526</v>
      </c>
      <c r="G873" s="12" t="s">
        <v>196</v>
      </c>
      <c r="H873" s="167">
        <f>26.3+51.4</f>
        <v>77.7</v>
      </c>
      <c r="I873" s="167">
        <v>0</v>
      </c>
      <c r="J873" s="271">
        <v>0</v>
      </c>
    </row>
    <row r="874" spans="1:10" ht="37.5">
      <c r="A874" s="26"/>
      <c r="B874" s="108" t="s">
        <v>131</v>
      </c>
      <c r="C874" s="11" t="s">
        <v>15</v>
      </c>
      <c r="D874" s="11" t="s">
        <v>52</v>
      </c>
      <c r="E874" s="1" t="s">
        <v>53</v>
      </c>
      <c r="F874" s="1" t="s">
        <v>476</v>
      </c>
      <c r="G874" s="1"/>
      <c r="H874" s="62">
        <f>SUM(H875:H875)</f>
        <v>79</v>
      </c>
      <c r="I874" s="62">
        <f>SUM(I875:I875)</f>
        <v>79</v>
      </c>
      <c r="J874" s="188">
        <f>SUM(J875:J875)</f>
        <v>79</v>
      </c>
    </row>
    <row r="875" spans="1:10" ht="36">
      <c r="A875" s="26"/>
      <c r="B875" s="93" t="s">
        <v>204</v>
      </c>
      <c r="C875" s="9" t="s">
        <v>15</v>
      </c>
      <c r="D875" s="9" t="s">
        <v>52</v>
      </c>
      <c r="E875" s="9" t="s">
        <v>53</v>
      </c>
      <c r="F875" s="9" t="s">
        <v>476</v>
      </c>
      <c r="G875" s="9" t="s">
        <v>196</v>
      </c>
      <c r="H875" s="74">
        <f>58+21</f>
        <v>79</v>
      </c>
      <c r="I875" s="74">
        <f>58+21</f>
        <v>79</v>
      </c>
      <c r="J875" s="197">
        <f>58+21</f>
        <v>79</v>
      </c>
    </row>
    <row r="876" spans="1:10" ht="56.25">
      <c r="A876" s="26"/>
      <c r="B876" s="96" t="s">
        <v>510</v>
      </c>
      <c r="C876" s="22" t="s">
        <v>15</v>
      </c>
      <c r="D876" s="22" t="s">
        <v>52</v>
      </c>
      <c r="E876" s="23" t="s">
        <v>53</v>
      </c>
      <c r="F876" s="23" t="s">
        <v>508</v>
      </c>
      <c r="G876" s="28"/>
      <c r="H876" s="71">
        <f aca="true" t="shared" si="83" ref="H876:J877">H877</f>
        <v>118.1</v>
      </c>
      <c r="I876" s="71">
        <f t="shared" si="83"/>
        <v>0</v>
      </c>
      <c r="J876" s="71">
        <f t="shared" si="83"/>
        <v>0</v>
      </c>
    </row>
    <row r="877" spans="1:10" ht="37.5">
      <c r="A877" s="26"/>
      <c r="B877" s="98" t="s">
        <v>769</v>
      </c>
      <c r="C877" s="29" t="s">
        <v>15</v>
      </c>
      <c r="D877" s="29" t="s">
        <v>52</v>
      </c>
      <c r="E877" s="30" t="s">
        <v>53</v>
      </c>
      <c r="F877" s="30" t="s">
        <v>528</v>
      </c>
      <c r="G877" s="21"/>
      <c r="H877" s="179">
        <f t="shared" si="83"/>
        <v>118.1</v>
      </c>
      <c r="I877" s="179">
        <f t="shared" si="83"/>
        <v>0</v>
      </c>
      <c r="J877" s="179">
        <f t="shared" si="83"/>
        <v>0</v>
      </c>
    </row>
    <row r="878" spans="1:10" ht="36">
      <c r="A878" s="26"/>
      <c r="B878" s="151" t="s">
        <v>204</v>
      </c>
      <c r="C878" s="7" t="s">
        <v>15</v>
      </c>
      <c r="D878" s="7" t="s">
        <v>52</v>
      </c>
      <c r="E878" s="7" t="s">
        <v>53</v>
      </c>
      <c r="F878" s="7" t="s">
        <v>528</v>
      </c>
      <c r="G878" s="7" t="s">
        <v>196</v>
      </c>
      <c r="H878" s="292">
        <v>118.1</v>
      </c>
      <c r="I878" s="292">
        <v>0</v>
      </c>
      <c r="J878" s="293">
        <v>0</v>
      </c>
    </row>
    <row r="879" spans="1:10" ht="37.5">
      <c r="A879" s="26"/>
      <c r="B879" s="108" t="s">
        <v>481</v>
      </c>
      <c r="C879" s="11" t="s">
        <v>15</v>
      </c>
      <c r="D879" s="11" t="s">
        <v>52</v>
      </c>
      <c r="E879" s="1" t="s">
        <v>53</v>
      </c>
      <c r="F879" s="1" t="s">
        <v>479</v>
      </c>
      <c r="G879" s="1"/>
      <c r="H879" s="62">
        <f>H880+H883+H889+H886</f>
        <v>2078.9</v>
      </c>
      <c r="I879" s="62">
        <f>I880+I883+I889</f>
        <v>1124.5</v>
      </c>
      <c r="J879" s="188">
        <f>J880+J883+J889</f>
        <v>1124.5</v>
      </c>
    </row>
    <row r="880" spans="1:10" ht="37.5">
      <c r="A880" s="26"/>
      <c r="B880" s="110" t="s">
        <v>132</v>
      </c>
      <c r="C880" s="22" t="s">
        <v>15</v>
      </c>
      <c r="D880" s="22" t="s">
        <v>52</v>
      </c>
      <c r="E880" s="23" t="s">
        <v>53</v>
      </c>
      <c r="F880" s="23" t="s">
        <v>480</v>
      </c>
      <c r="G880" s="23"/>
      <c r="H880" s="66">
        <f>SUM(H881:H882)</f>
        <v>172.9</v>
      </c>
      <c r="I880" s="66">
        <f>SUM(I881:I882)</f>
        <v>172.9</v>
      </c>
      <c r="J880" s="186">
        <f>SUM(J881:J882)</f>
        <v>172.9</v>
      </c>
    </row>
    <row r="881" spans="1:10" ht="36">
      <c r="A881" s="26"/>
      <c r="B881" s="92" t="s">
        <v>199</v>
      </c>
      <c r="C881" s="21" t="s">
        <v>15</v>
      </c>
      <c r="D881" s="21" t="s">
        <v>52</v>
      </c>
      <c r="E881" s="21" t="s">
        <v>53</v>
      </c>
      <c r="F881" s="21" t="s">
        <v>480</v>
      </c>
      <c r="G881" s="21" t="s">
        <v>192</v>
      </c>
      <c r="H881" s="68">
        <v>14.5</v>
      </c>
      <c r="I881" s="68">
        <v>14.5</v>
      </c>
      <c r="J881" s="99">
        <v>14.5</v>
      </c>
    </row>
    <row r="882" spans="1:10" ht="36">
      <c r="A882" s="26"/>
      <c r="B882" s="93" t="s">
        <v>204</v>
      </c>
      <c r="C882" s="9" t="s">
        <v>15</v>
      </c>
      <c r="D882" s="9" t="s">
        <v>52</v>
      </c>
      <c r="E882" s="9" t="s">
        <v>53</v>
      </c>
      <c r="F882" s="9" t="s">
        <v>480</v>
      </c>
      <c r="G882" s="9" t="s">
        <v>196</v>
      </c>
      <c r="H882" s="70">
        <v>158.4</v>
      </c>
      <c r="I882" s="70">
        <v>158.4</v>
      </c>
      <c r="J882" s="13">
        <v>158.4</v>
      </c>
    </row>
    <row r="883" spans="1:10" ht="37.5">
      <c r="A883" s="26"/>
      <c r="B883" s="110" t="s">
        <v>135</v>
      </c>
      <c r="C883" s="22" t="s">
        <v>15</v>
      </c>
      <c r="D883" s="22" t="s">
        <v>52</v>
      </c>
      <c r="E883" s="23" t="s">
        <v>53</v>
      </c>
      <c r="F883" s="23" t="s">
        <v>482</v>
      </c>
      <c r="G883" s="23"/>
      <c r="H883" s="66">
        <f>SUM(H884:H885)</f>
        <v>398.4</v>
      </c>
      <c r="I883" s="66">
        <f>SUM(I884:I885)</f>
        <v>398.4</v>
      </c>
      <c r="J883" s="186">
        <f>SUM(J884:J885)</f>
        <v>398.4</v>
      </c>
    </row>
    <row r="884" spans="1:10" ht="36">
      <c r="A884" s="26"/>
      <c r="B884" s="92" t="s">
        <v>199</v>
      </c>
      <c r="C884" s="21" t="s">
        <v>15</v>
      </c>
      <c r="D884" s="21" t="s">
        <v>52</v>
      </c>
      <c r="E884" s="21" t="s">
        <v>53</v>
      </c>
      <c r="F884" s="21" t="s">
        <v>482</v>
      </c>
      <c r="G884" s="21" t="s">
        <v>192</v>
      </c>
      <c r="H884" s="68">
        <v>99.6</v>
      </c>
      <c r="I884" s="68">
        <v>99.6</v>
      </c>
      <c r="J884" s="99">
        <v>99.6</v>
      </c>
    </row>
    <row r="885" spans="1:10" ht="36">
      <c r="A885" s="26"/>
      <c r="B885" s="93" t="s">
        <v>204</v>
      </c>
      <c r="C885" s="9" t="s">
        <v>15</v>
      </c>
      <c r="D885" s="9" t="s">
        <v>52</v>
      </c>
      <c r="E885" s="9" t="s">
        <v>53</v>
      </c>
      <c r="F885" s="9" t="s">
        <v>482</v>
      </c>
      <c r="G885" s="9" t="s">
        <v>196</v>
      </c>
      <c r="H885" s="70">
        <v>298.8</v>
      </c>
      <c r="I885" s="70">
        <v>298.8</v>
      </c>
      <c r="J885" s="13">
        <v>298.8</v>
      </c>
    </row>
    <row r="886" spans="1:10" ht="37.5">
      <c r="A886" s="26"/>
      <c r="B886" s="108" t="s">
        <v>740</v>
      </c>
      <c r="C886" s="11" t="s">
        <v>15</v>
      </c>
      <c r="D886" s="11" t="s">
        <v>52</v>
      </c>
      <c r="E886" s="1" t="s">
        <v>53</v>
      </c>
      <c r="F886" s="1" t="s">
        <v>530</v>
      </c>
      <c r="G886" s="1"/>
      <c r="H886" s="62">
        <f>H888+H887</f>
        <v>954.4</v>
      </c>
      <c r="I886" s="62">
        <f>I888</f>
        <v>0</v>
      </c>
      <c r="J886" s="188">
        <f>J888</f>
        <v>0</v>
      </c>
    </row>
    <row r="887" spans="1:10" ht="36">
      <c r="A887" s="26"/>
      <c r="B887" s="92" t="s">
        <v>199</v>
      </c>
      <c r="C887" s="20" t="s">
        <v>15</v>
      </c>
      <c r="D887" s="20" t="s">
        <v>52</v>
      </c>
      <c r="E887" s="20" t="s">
        <v>53</v>
      </c>
      <c r="F887" s="20" t="s">
        <v>530</v>
      </c>
      <c r="G887" s="20" t="s">
        <v>192</v>
      </c>
      <c r="H887" s="69">
        <v>75.3</v>
      </c>
      <c r="I887" s="69">
        <v>0</v>
      </c>
      <c r="J887" s="234">
        <v>0</v>
      </c>
    </row>
    <row r="888" spans="1:10" ht="36">
      <c r="A888" s="26"/>
      <c r="B888" s="93" t="s">
        <v>204</v>
      </c>
      <c r="C888" s="9" t="s">
        <v>15</v>
      </c>
      <c r="D888" s="9" t="s">
        <v>52</v>
      </c>
      <c r="E888" s="9" t="s">
        <v>53</v>
      </c>
      <c r="F888" s="9" t="s">
        <v>530</v>
      </c>
      <c r="G888" s="9" t="s">
        <v>196</v>
      </c>
      <c r="H888" s="70">
        <f>14.4+527.1+337.6</f>
        <v>879.1</v>
      </c>
      <c r="I888" s="70">
        <v>0</v>
      </c>
      <c r="J888" s="13">
        <v>0</v>
      </c>
    </row>
    <row r="889" spans="1:10" ht="56.25">
      <c r="A889" s="26"/>
      <c r="B889" s="110" t="s">
        <v>556</v>
      </c>
      <c r="C889" s="22" t="s">
        <v>15</v>
      </c>
      <c r="D889" s="22" t="s">
        <v>52</v>
      </c>
      <c r="E889" s="23" t="s">
        <v>53</v>
      </c>
      <c r="F889" s="23" t="s">
        <v>483</v>
      </c>
      <c r="G889" s="23"/>
      <c r="H889" s="66">
        <f>SUM(H890:H891)</f>
        <v>553.2</v>
      </c>
      <c r="I889" s="66">
        <f>SUM(I890:I891)</f>
        <v>553.2</v>
      </c>
      <c r="J889" s="186">
        <f>SUM(J890:J891)</f>
        <v>553.2</v>
      </c>
    </row>
    <row r="890" spans="1:10" ht="36">
      <c r="A890" s="26"/>
      <c r="B890" s="92" t="s">
        <v>199</v>
      </c>
      <c r="C890" s="21" t="s">
        <v>15</v>
      </c>
      <c r="D890" s="21" t="s">
        <v>52</v>
      </c>
      <c r="E890" s="21" t="s">
        <v>53</v>
      </c>
      <c r="F890" s="21" t="s">
        <v>483</v>
      </c>
      <c r="G890" s="21" t="s">
        <v>192</v>
      </c>
      <c r="H890" s="68">
        <v>109.2</v>
      </c>
      <c r="I890" s="68">
        <v>109.2</v>
      </c>
      <c r="J890" s="99">
        <v>109.2</v>
      </c>
    </row>
    <row r="891" spans="1:10" ht="36">
      <c r="A891" s="26"/>
      <c r="B891" s="93" t="s">
        <v>204</v>
      </c>
      <c r="C891" s="9" t="s">
        <v>15</v>
      </c>
      <c r="D891" s="9" t="s">
        <v>52</v>
      </c>
      <c r="E891" s="9" t="s">
        <v>53</v>
      </c>
      <c r="F891" s="9" t="s">
        <v>483</v>
      </c>
      <c r="G891" s="9" t="s">
        <v>196</v>
      </c>
      <c r="H891" s="70">
        <v>444</v>
      </c>
      <c r="I891" s="70">
        <v>444</v>
      </c>
      <c r="J891" s="13">
        <v>444</v>
      </c>
    </row>
    <row r="892" spans="1:10" ht="56.25">
      <c r="A892" s="26"/>
      <c r="B892" s="108" t="s">
        <v>485</v>
      </c>
      <c r="C892" s="11" t="s">
        <v>15</v>
      </c>
      <c r="D892" s="11" t="s">
        <v>52</v>
      </c>
      <c r="E892" s="1" t="s">
        <v>53</v>
      </c>
      <c r="F892" s="1" t="s">
        <v>484</v>
      </c>
      <c r="G892" s="1"/>
      <c r="H892" s="62">
        <f>H893</f>
        <v>2815.0000000000014</v>
      </c>
      <c r="I892" s="62">
        <f>I893</f>
        <v>8034.1</v>
      </c>
      <c r="J892" s="188">
        <f>J893</f>
        <v>8034.1</v>
      </c>
    </row>
    <row r="893" spans="1:10" ht="37.5">
      <c r="A893" s="26"/>
      <c r="B893" s="96" t="s">
        <v>514</v>
      </c>
      <c r="C893" s="22" t="s">
        <v>15</v>
      </c>
      <c r="D893" s="22" t="s">
        <v>52</v>
      </c>
      <c r="E893" s="23" t="s">
        <v>53</v>
      </c>
      <c r="F893" s="23" t="s">
        <v>515</v>
      </c>
      <c r="G893" s="28"/>
      <c r="H893" s="66">
        <f>H894+H895</f>
        <v>2815.0000000000014</v>
      </c>
      <c r="I893" s="66">
        <f>I894+I895</f>
        <v>8034.1</v>
      </c>
      <c r="J893" s="66">
        <f>J894+J895</f>
        <v>8034.1</v>
      </c>
    </row>
    <row r="894" spans="1:10" ht="36">
      <c r="A894" s="26"/>
      <c r="B894" s="148" t="s">
        <v>199</v>
      </c>
      <c r="C894" s="7" t="s">
        <v>15</v>
      </c>
      <c r="D894" s="7" t="s">
        <v>52</v>
      </c>
      <c r="E894" s="7" t="s">
        <v>53</v>
      </c>
      <c r="F894" s="7" t="s">
        <v>515</v>
      </c>
      <c r="G894" s="7" t="s">
        <v>192</v>
      </c>
      <c r="H894" s="120">
        <f>51.6+10000-1970.7-2406.6-4657.2</f>
        <v>1017.1000000000013</v>
      </c>
      <c r="I894" s="120">
        <f>10049.1-1970.7-44.3</f>
        <v>8034.1</v>
      </c>
      <c r="J894" s="266">
        <f>10049.1-1970.7-44.3</f>
        <v>8034.1</v>
      </c>
    </row>
    <row r="895" spans="1:10" ht="36">
      <c r="A895" s="26"/>
      <c r="B895" s="93" t="s">
        <v>204</v>
      </c>
      <c r="C895" s="9" t="s">
        <v>15</v>
      </c>
      <c r="D895" s="9" t="s">
        <v>52</v>
      </c>
      <c r="E895" s="9" t="s">
        <v>53</v>
      </c>
      <c r="F895" s="9" t="s">
        <v>515</v>
      </c>
      <c r="G895" s="9" t="s">
        <v>196</v>
      </c>
      <c r="H895" s="70">
        <v>1797.9</v>
      </c>
      <c r="I895" s="70">
        <v>0</v>
      </c>
      <c r="J895" s="13">
        <v>0</v>
      </c>
    </row>
    <row r="896" spans="1:10" ht="18.75">
      <c r="A896" s="26"/>
      <c r="B896" s="96" t="s">
        <v>618</v>
      </c>
      <c r="C896" s="22" t="s">
        <v>15</v>
      </c>
      <c r="D896" s="22" t="s">
        <v>52</v>
      </c>
      <c r="E896" s="23" t="s">
        <v>53</v>
      </c>
      <c r="F896" s="23" t="s">
        <v>617</v>
      </c>
      <c r="G896" s="28"/>
      <c r="H896" s="66">
        <f aca="true" t="shared" si="84" ref="H896:J897">H897</f>
        <v>2433.6</v>
      </c>
      <c r="I896" s="66">
        <f t="shared" si="84"/>
        <v>2433.6</v>
      </c>
      <c r="J896" s="186">
        <f t="shared" si="84"/>
        <v>2433.6</v>
      </c>
    </row>
    <row r="897" spans="1:10" ht="37.5">
      <c r="A897" s="26"/>
      <c r="B897" s="153" t="s">
        <v>624</v>
      </c>
      <c r="C897" s="5" t="s">
        <v>15</v>
      </c>
      <c r="D897" s="5" t="s">
        <v>52</v>
      </c>
      <c r="E897" s="6" t="s">
        <v>53</v>
      </c>
      <c r="F897" s="6" t="s">
        <v>622</v>
      </c>
      <c r="G897" s="10"/>
      <c r="H897" s="78">
        <f t="shared" si="84"/>
        <v>2433.6</v>
      </c>
      <c r="I897" s="78">
        <f t="shared" si="84"/>
        <v>2433.6</v>
      </c>
      <c r="J897" s="221">
        <f t="shared" si="84"/>
        <v>2433.6</v>
      </c>
    </row>
    <row r="898" spans="1:10" ht="56.25">
      <c r="A898" s="26"/>
      <c r="B898" s="96" t="s">
        <v>560</v>
      </c>
      <c r="C898" s="22" t="s">
        <v>15</v>
      </c>
      <c r="D898" s="22" t="s">
        <v>52</v>
      </c>
      <c r="E898" s="23" t="s">
        <v>53</v>
      </c>
      <c r="F898" s="23" t="s">
        <v>625</v>
      </c>
      <c r="G898" s="28"/>
      <c r="H898" s="66">
        <f>SUM(H899:H900)</f>
        <v>2433.6</v>
      </c>
      <c r="I898" s="66">
        <f>SUM(I899:I900)</f>
        <v>2433.6</v>
      </c>
      <c r="J898" s="66">
        <f>SUM(J899:J900)</f>
        <v>2433.6</v>
      </c>
    </row>
    <row r="899" spans="1:10" ht="36">
      <c r="A899" s="26"/>
      <c r="B899" s="150" t="s">
        <v>199</v>
      </c>
      <c r="C899" s="57" t="s">
        <v>15</v>
      </c>
      <c r="D899" s="57" t="s">
        <v>52</v>
      </c>
      <c r="E899" s="57" t="s">
        <v>53</v>
      </c>
      <c r="F899" s="57" t="s">
        <v>625</v>
      </c>
      <c r="G899" s="57" t="s">
        <v>192</v>
      </c>
      <c r="H899" s="282">
        <f>200+43.4+2190.2-2433.6</f>
        <v>0</v>
      </c>
      <c r="I899" s="282">
        <f>222.4+45.3+2165.9</f>
        <v>2433.6</v>
      </c>
      <c r="J899" s="283">
        <f>222.4+69.6+2141.6</f>
        <v>2433.6</v>
      </c>
    </row>
    <row r="900" spans="1:10" ht="36">
      <c r="A900" s="26"/>
      <c r="B900" s="93" t="s">
        <v>204</v>
      </c>
      <c r="C900" s="20" t="s">
        <v>15</v>
      </c>
      <c r="D900" s="20" t="s">
        <v>52</v>
      </c>
      <c r="E900" s="20" t="s">
        <v>53</v>
      </c>
      <c r="F900" s="20" t="s">
        <v>625</v>
      </c>
      <c r="G900" s="7" t="s">
        <v>196</v>
      </c>
      <c r="H900" s="120">
        <v>2433.6</v>
      </c>
      <c r="I900" s="120">
        <v>0</v>
      </c>
      <c r="J900" s="266"/>
    </row>
    <row r="901" spans="1:10" ht="56.25">
      <c r="A901" s="26"/>
      <c r="B901" s="96" t="s">
        <v>13</v>
      </c>
      <c r="C901" s="22" t="s">
        <v>15</v>
      </c>
      <c r="D901" s="22" t="s">
        <v>52</v>
      </c>
      <c r="E901" s="23" t="s">
        <v>53</v>
      </c>
      <c r="F901" s="23" t="s">
        <v>414</v>
      </c>
      <c r="G901" s="28"/>
      <c r="H901" s="66">
        <f>H902</f>
        <v>100</v>
      </c>
      <c r="I901" s="66">
        <f>I902</f>
        <v>822</v>
      </c>
      <c r="J901" s="186">
        <f>J902</f>
        <v>822</v>
      </c>
    </row>
    <row r="902" spans="1:10" ht="18.75">
      <c r="A902" s="26"/>
      <c r="B902" s="108" t="s">
        <v>294</v>
      </c>
      <c r="C902" s="11" t="s">
        <v>15</v>
      </c>
      <c r="D902" s="11" t="s">
        <v>52</v>
      </c>
      <c r="E902" s="1" t="s">
        <v>53</v>
      </c>
      <c r="F902" s="1" t="s">
        <v>416</v>
      </c>
      <c r="G902" s="1"/>
      <c r="H902" s="62">
        <f>H903+H906</f>
        <v>100</v>
      </c>
      <c r="I902" s="62">
        <f>I903+I906</f>
        <v>822</v>
      </c>
      <c r="J902" s="188">
        <f>J903+J906</f>
        <v>822</v>
      </c>
    </row>
    <row r="903" spans="1:10" ht="56.25">
      <c r="A903" s="26"/>
      <c r="B903" s="108" t="s">
        <v>683</v>
      </c>
      <c r="C903" s="11" t="s">
        <v>15</v>
      </c>
      <c r="D903" s="11" t="s">
        <v>52</v>
      </c>
      <c r="E903" s="1" t="s">
        <v>53</v>
      </c>
      <c r="F903" s="1" t="s">
        <v>488</v>
      </c>
      <c r="G903" s="1"/>
      <c r="H903" s="62">
        <f>H905</f>
        <v>0</v>
      </c>
      <c r="I903" s="62">
        <f>I905</f>
        <v>822</v>
      </c>
      <c r="J903" s="188">
        <f>J905</f>
        <v>822</v>
      </c>
    </row>
    <row r="904" spans="1:10" ht="37.5">
      <c r="A904" s="26"/>
      <c r="B904" s="108" t="s">
        <v>517</v>
      </c>
      <c r="C904" s="11" t="s">
        <v>15</v>
      </c>
      <c r="D904" s="11" t="s">
        <v>52</v>
      </c>
      <c r="E904" s="1" t="s">
        <v>53</v>
      </c>
      <c r="F904" s="1" t="s">
        <v>516</v>
      </c>
      <c r="G904" s="1"/>
      <c r="H904" s="62">
        <f>SUM(H905:H905)</f>
        <v>0</v>
      </c>
      <c r="I904" s="62">
        <f>SUM(I905:I905)</f>
        <v>822</v>
      </c>
      <c r="J904" s="188">
        <f>SUM(J905:J905)</f>
        <v>822</v>
      </c>
    </row>
    <row r="905" spans="1:10" ht="36">
      <c r="A905" s="26"/>
      <c r="B905" s="93" t="s">
        <v>199</v>
      </c>
      <c r="C905" s="9" t="s">
        <v>15</v>
      </c>
      <c r="D905" s="9" t="s">
        <v>52</v>
      </c>
      <c r="E905" s="9" t="s">
        <v>53</v>
      </c>
      <c r="F905" s="9" t="s">
        <v>516</v>
      </c>
      <c r="G905" s="9" t="s">
        <v>192</v>
      </c>
      <c r="H905" s="70">
        <v>0</v>
      </c>
      <c r="I905" s="70">
        <v>822</v>
      </c>
      <c r="J905" s="13">
        <v>822</v>
      </c>
    </row>
    <row r="906" spans="1:10" ht="37.5">
      <c r="A906" s="26"/>
      <c r="B906" s="108" t="s">
        <v>675</v>
      </c>
      <c r="C906" s="11" t="s">
        <v>15</v>
      </c>
      <c r="D906" s="11" t="s">
        <v>52</v>
      </c>
      <c r="E906" s="1" t="s">
        <v>53</v>
      </c>
      <c r="F906" s="1" t="s">
        <v>415</v>
      </c>
      <c r="G906" s="1"/>
      <c r="H906" s="62">
        <f>H907</f>
        <v>100</v>
      </c>
      <c r="I906" s="62">
        <f>I907</f>
        <v>0</v>
      </c>
      <c r="J906" s="188">
        <f>J907</f>
        <v>0</v>
      </c>
    </row>
    <row r="907" spans="1:10" ht="37.5">
      <c r="A907" s="26"/>
      <c r="B907" s="98" t="s">
        <v>496</v>
      </c>
      <c r="C907" s="29" t="s">
        <v>15</v>
      </c>
      <c r="D907" s="29" t="s">
        <v>52</v>
      </c>
      <c r="E907" s="30" t="s">
        <v>53</v>
      </c>
      <c r="F907" s="30" t="s">
        <v>495</v>
      </c>
      <c r="G907" s="21"/>
      <c r="H907" s="62">
        <f>SUM(H908:H908)</f>
        <v>100</v>
      </c>
      <c r="I907" s="62">
        <f>SUM(I908:I908)</f>
        <v>0</v>
      </c>
      <c r="J907" s="188">
        <f>SUM(J908:J908)</f>
        <v>0</v>
      </c>
    </row>
    <row r="908" spans="1:10" ht="36">
      <c r="A908" s="26"/>
      <c r="B908" s="111" t="s">
        <v>204</v>
      </c>
      <c r="C908" s="9" t="s">
        <v>15</v>
      </c>
      <c r="D908" s="9" t="s">
        <v>52</v>
      </c>
      <c r="E908" s="9" t="s">
        <v>53</v>
      </c>
      <c r="F908" s="9" t="s">
        <v>495</v>
      </c>
      <c r="G908" s="9" t="s">
        <v>196</v>
      </c>
      <c r="H908" s="70">
        <v>100</v>
      </c>
      <c r="I908" s="70">
        <v>0</v>
      </c>
      <c r="J908" s="13">
        <v>0</v>
      </c>
    </row>
    <row r="909" spans="1:10" ht="37.5">
      <c r="A909" s="26"/>
      <c r="B909" s="116" t="s">
        <v>156</v>
      </c>
      <c r="C909" s="3" t="s">
        <v>15</v>
      </c>
      <c r="D909" s="3" t="s">
        <v>52</v>
      </c>
      <c r="E909" s="4" t="s">
        <v>56</v>
      </c>
      <c r="F909" s="15" t="s">
        <v>78</v>
      </c>
      <c r="G909" s="15"/>
      <c r="H909" s="63">
        <f aca="true" t="shared" si="85" ref="H909:J912">H910</f>
        <v>0</v>
      </c>
      <c r="I909" s="63">
        <f t="shared" si="85"/>
        <v>0</v>
      </c>
      <c r="J909" s="246">
        <f t="shared" si="85"/>
        <v>0</v>
      </c>
    </row>
    <row r="910" spans="1:10" ht="37.5">
      <c r="A910" s="26"/>
      <c r="B910" s="116" t="s">
        <v>83</v>
      </c>
      <c r="C910" s="3" t="s">
        <v>15</v>
      </c>
      <c r="D910" s="3" t="s">
        <v>52</v>
      </c>
      <c r="E910" s="4" t="s">
        <v>56</v>
      </c>
      <c r="F910" s="4" t="s">
        <v>338</v>
      </c>
      <c r="G910" s="15"/>
      <c r="H910" s="63">
        <f t="shared" si="85"/>
        <v>0</v>
      </c>
      <c r="I910" s="63">
        <f t="shared" si="85"/>
        <v>0</v>
      </c>
      <c r="J910" s="246">
        <f t="shared" si="85"/>
        <v>0</v>
      </c>
    </row>
    <row r="911" spans="1:10" ht="18.75">
      <c r="A911" s="26"/>
      <c r="B911" s="108" t="s">
        <v>294</v>
      </c>
      <c r="C911" s="3" t="s">
        <v>15</v>
      </c>
      <c r="D911" s="3" t="s">
        <v>52</v>
      </c>
      <c r="E911" s="4" t="s">
        <v>56</v>
      </c>
      <c r="F911" s="4" t="s">
        <v>359</v>
      </c>
      <c r="G911" s="15"/>
      <c r="H911" s="63">
        <f t="shared" si="85"/>
        <v>0</v>
      </c>
      <c r="I911" s="63">
        <f t="shared" si="85"/>
        <v>0</v>
      </c>
      <c r="J911" s="246">
        <f t="shared" si="85"/>
        <v>0</v>
      </c>
    </row>
    <row r="912" spans="1:10" ht="56.25">
      <c r="A912" s="26"/>
      <c r="B912" s="115" t="s">
        <v>661</v>
      </c>
      <c r="C912" s="16" t="s">
        <v>15</v>
      </c>
      <c r="D912" s="16" t="s">
        <v>52</v>
      </c>
      <c r="E912" s="17" t="s">
        <v>56</v>
      </c>
      <c r="F912" s="17" t="s">
        <v>370</v>
      </c>
      <c r="G912" s="18"/>
      <c r="H912" s="61">
        <f t="shared" si="85"/>
        <v>0</v>
      </c>
      <c r="I912" s="61">
        <f t="shared" si="85"/>
        <v>0</v>
      </c>
      <c r="J912" s="251">
        <f t="shared" si="85"/>
        <v>0</v>
      </c>
    </row>
    <row r="913" spans="1:10" ht="37.5">
      <c r="A913" s="26"/>
      <c r="B913" s="117" t="s">
        <v>157</v>
      </c>
      <c r="C913" s="16" t="s">
        <v>15</v>
      </c>
      <c r="D913" s="16" t="s">
        <v>52</v>
      </c>
      <c r="E913" s="17" t="s">
        <v>56</v>
      </c>
      <c r="F913" s="17" t="s">
        <v>662</v>
      </c>
      <c r="G913" s="18"/>
      <c r="H913" s="61">
        <f>SUM(H914:H914)</f>
        <v>0</v>
      </c>
      <c r="I913" s="61">
        <f>SUM(I914:I914)</f>
        <v>0</v>
      </c>
      <c r="J913" s="251">
        <f>SUM(J914:J914)</f>
        <v>0</v>
      </c>
    </row>
    <row r="914" spans="1:10" ht="36">
      <c r="A914" s="26"/>
      <c r="B914" s="102" t="s">
        <v>199</v>
      </c>
      <c r="C914" s="20" t="s">
        <v>15</v>
      </c>
      <c r="D914" s="20" t="s">
        <v>52</v>
      </c>
      <c r="E914" s="20" t="s">
        <v>56</v>
      </c>
      <c r="F914" s="20" t="s">
        <v>662</v>
      </c>
      <c r="G914" s="20" t="s">
        <v>192</v>
      </c>
      <c r="H914" s="69">
        <f>48+432-480</f>
        <v>0</v>
      </c>
      <c r="I914" s="69">
        <f>52.8+427.2-480</f>
        <v>0</v>
      </c>
      <c r="J914" s="234">
        <f>52.8+4.8+422.4-480</f>
        <v>0</v>
      </c>
    </row>
    <row r="915" spans="1:10" ht="18.75">
      <c r="A915" s="26"/>
      <c r="B915" s="96" t="s">
        <v>25</v>
      </c>
      <c r="C915" s="3" t="s">
        <v>15</v>
      </c>
      <c r="D915" s="3" t="s">
        <v>52</v>
      </c>
      <c r="E915" s="4" t="s">
        <v>27</v>
      </c>
      <c r="F915" s="23"/>
      <c r="G915" s="23"/>
      <c r="H915" s="66">
        <f>H916+H985+H980</f>
        <v>39131</v>
      </c>
      <c r="I915" s="66">
        <f>I916+I985+I980</f>
        <v>43150.1</v>
      </c>
      <c r="J915" s="186">
        <f>J916+J985+J980</f>
        <v>43150.1</v>
      </c>
    </row>
    <row r="916" spans="1:10" ht="37.5">
      <c r="A916" s="26"/>
      <c r="B916" s="132" t="s">
        <v>160</v>
      </c>
      <c r="C916" s="1" t="s">
        <v>15</v>
      </c>
      <c r="D916" s="1" t="s">
        <v>52</v>
      </c>
      <c r="E916" s="1" t="s">
        <v>27</v>
      </c>
      <c r="F916" s="1" t="s">
        <v>338</v>
      </c>
      <c r="G916" s="12"/>
      <c r="H916" s="62">
        <f>H917</f>
        <v>27346.000000000004</v>
      </c>
      <c r="I916" s="62">
        <f>I917</f>
        <v>31373.2</v>
      </c>
      <c r="J916" s="188">
        <f>J917</f>
        <v>31373.2</v>
      </c>
    </row>
    <row r="917" spans="1:10" ht="18.75">
      <c r="A917" s="26"/>
      <c r="B917" s="132" t="s">
        <v>294</v>
      </c>
      <c r="C917" s="1" t="s">
        <v>15</v>
      </c>
      <c r="D917" s="1" t="s">
        <v>52</v>
      </c>
      <c r="E917" s="1" t="s">
        <v>27</v>
      </c>
      <c r="F917" s="1" t="s">
        <v>359</v>
      </c>
      <c r="G917" s="12"/>
      <c r="H917" s="62">
        <f>H918+H922+H928+H936+H941+H946+H951+H954+H962+H976</f>
        <v>27346.000000000004</v>
      </c>
      <c r="I917" s="62">
        <f>I918+I922+I928+I936+I941+I946+I951+I954+I962+I976</f>
        <v>31373.2</v>
      </c>
      <c r="J917" s="188">
        <f>J918+J922+J928+J936+J941+J946+J951+J954+J962+J976</f>
        <v>31373.2</v>
      </c>
    </row>
    <row r="918" spans="1:10" ht="37.5">
      <c r="A918" s="26"/>
      <c r="B918" s="132" t="s">
        <v>467</v>
      </c>
      <c r="C918" s="1" t="s">
        <v>15</v>
      </c>
      <c r="D918" s="1" t="s">
        <v>52</v>
      </c>
      <c r="E918" s="1" t="s">
        <v>27</v>
      </c>
      <c r="F918" s="1" t="s">
        <v>466</v>
      </c>
      <c r="G918" s="12"/>
      <c r="H918" s="62">
        <f>H919</f>
        <v>1537.7</v>
      </c>
      <c r="I918" s="62">
        <f>I919</f>
        <v>1537.7</v>
      </c>
      <c r="J918" s="188">
        <f>J919</f>
        <v>1537.7</v>
      </c>
    </row>
    <row r="919" spans="1:10" ht="56.25">
      <c r="A919" s="26"/>
      <c r="B919" s="198" t="s">
        <v>221</v>
      </c>
      <c r="C919" s="1" t="s">
        <v>15</v>
      </c>
      <c r="D919" s="1" t="s">
        <v>52</v>
      </c>
      <c r="E919" s="1" t="s">
        <v>27</v>
      </c>
      <c r="F919" s="1" t="s">
        <v>522</v>
      </c>
      <c r="G919" s="12"/>
      <c r="H919" s="62">
        <f>SUM(H920:H921)</f>
        <v>1537.7</v>
      </c>
      <c r="I919" s="62">
        <f>SUM(I920:I921)</f>
        <v>1537.7</v>
      </c>
      <c r="J919" s="188">
        <f>SUM(J920:J921)</f>
        <v>1537.7</v>
      </c>
    </row>
    <row r="920" spans="1:10" ht="54">
      <c r="A920" s="26"/>
      <c r="B920" s="150" t="s">
        <v>201</v>
      </c>
      <c r="C920" s="21" t="s">
        <v>15</v>
      </c>
      <c r="D920" s="21" t="s">
        <v>52</v>
      </c>
      <c r="E920" s="21" t="s">
        <v>27</v>
      </c>
      <c r="F920" s="21" t="s">
        <v>522</v>
      </c>
      <c r="G920" s="19" t="s">
        <v>191</v>
      </c>
      <c r="H920" s="68">
        <v>1281.4</v>
      </c>
      <c r="I920" s="68">
        <v>1281.4</v>
      </c>
      <c r="J920" s="99">
        <v>1281.4</v>
      </c>
    </row>
    <row r="921" spans="1:10" ht="36">
      <c r="A921" s="26"/>
      <c r="B921" s="151" t="s">
        <v>199</v>
      </c>
      <c r="C921" s="9" t="s">
        <v>15</v>
      </c>
      <c r="D921" s="9" t="s">
        <v>52</v>
      </c>
      <c r="E921" s="9" t="s">
        <v>27</v>
      </c>
      <c r="F921" s="9" t="s">
        <v>522</v>
      </c>
      <c r="G921" s="8" t="s">
        <v>192</v>
      </c>
      <c r="H921" s="70">
        <v>256.3</v>
      </c>
      <c r="I921" s="70">
        <v>256.3</v>
      </c>
      <c r="J921" s="13">
        <v>256.3</v>
      </c>
    </row>
    <row r="922" spans="1:10" ht="37.5">
      <c r="A922" s="26"/>
      <c r="B922" s="95" t="s">
        <v>475</v>
      </c>
      <c r="C922" s="11" t="s">
        <v>15</v>
      </c>
      <c r="D922" s="11" t="s">
        <v>52</v>
      </c>
      <c r="E922" s="1" t="s">
        <v>27</v>
      </c>
      <c r="F922" s="1" t="s">
        <v>473</v>
      </c>
      <c r="G922" s="1"/>
      <c r="H922" s="62">
        <f>H926+H923</f>
        <v>1991.3000000000002</v>
      </c>
      <c r="I922" s="62">
        <f>I926+I923</f>
        <v>2168.4</v>
      </c>
      <c r="J922" s="188">
        <f>J926+J923</f>
        <v>2168.4</v>
      </c>
    </row>
    <row r="923" spans="1:10" ht="37.5">
      <c r="A923" s="26"/>
      <c r="B923" s="110" t="s">
        <v>297</v>
      </c>
      <c r="C923" s="11" t="s">
        <v>15</v>
      </c>
      <c r="D923" s="11" t="s">
        <v>52</v>
      </c>
      <c r="E923" s="1" t="s">
        <v>27</v>
      </c>
      <c r="F923" s="1" t="s">
        <v>474</v>
      </c>
      <c r="G923" s="1"/>
      <c r="H923" s="62">
        <f>H924+H925</f>
        <v>1808.1000000000001</v>
      </c>
      <c r="I923" s="62">
        <f>I924+I925</f>
        <v>1788.4</v>
      </c>
      <c r="J923" s="188">
        <f>J924+J925</f>
        <v>1788.4</v>
      </c>
    </row>
    <row r="924" spans="1:10" ht="54">
      <c r="A924" s="26"/>
      <c r="B924" s="92" t="s">
        <v>201</v>
      </c>
      <c r="C924" s="21" t="s">
        <v>15</v>
      </c>
      <c r="D924" s="21" t="s">
        <v>52</v>
      </c>
      <c r="E924" s="21" t="s">
        <v>27</v>
      </c>
      <c r="F924" s="21" t="s">
        <v>474</v>
      </c>
      <c r="G924" s="21" t="s">
        <v>191</v>
      </c>
      <c r="H924" s="68">
        <v>1062.2</v>
      </c>
      <c r="I924" s="68">
        <v>1062.2</v>
      </c>
      <c r="J924" s="99">
        <v>1062.2</v>
      </c>
    </row>
    <row r="925" spans="1:10" ht="36">
      <c r="A925" s="26"/>
      <c r="B925" s="102" t="s">
        <v>199</v>
      </c>
      <c r="C925" s="20" t="s">
        <v>15</v>
      </c>
      <c r="D925" s="20" t="s">
        <v>52</v>
      </c>
      <c r="E925" s="20" t="s">
        <v>27</v>
      </c>
      <c r="F925" s="20" t="s">
        <v>474</v>
      </c>
      <c r="G925" s="20" t="s">
        <v>192</v>
      </c>
      <c r="H925" s="69">
        <f>726.2+19.7</f>
        <v>745.9000000000001</v>
      </c>
      <c r="I925" s="69">
        <v>726.2</v>
      </c>
      <c r="J925" s="234">
        <v>726.2</v>
      </c>
    </row>
    <row r="926" spans="1:10" ht="37.5">
      <c r="A926" s="26"/>
      <c r="B926" s="108" t="s">
        <v>141</v>
      </c>
      <c r="C926" s="11" t="s">
        <v>15</v>
      </c>
      <c r="D926" s="11" t="s">
        <v>52</v>
      </c>
      <c r="E926" s="1" t="s">
        <v>27</v>
      </c>
      <c r="F926" s="1" t="s">
        <v>523</v>
      </c>
      <c r="G926" s="1"/>
      <c r="H926" s="62">
        <f>SUM(H927:H927)</f>
        <v>183.2</v>
      </c>
      <c r="I926" s="62">
        <f>SUM(I927:I927)</f>
        <v>380</v>
      </c>
      <c r="J926" s="188">
        <f>SUM(J927:J927)</f>
        <v>380</v>
      </c>
    </row>
    <row r="927" spans="1:10" ht="36">
      <c r="A927" s="26"/>
      <c r="B927" s="93" t="s">
        <v>199</v>
      </c>
      <c r="C927" s="9" t="s">
        <v>15</v>
      </c>
      <c r="D927" s="9" t="s">
        <v>52</v>
      </c>
      <c r="E927" s="9" t="s">
        <v>27</v>
      </c>
      <c r="F927" s="9" t="s">
        <v>523</v>
      </c>
      <c r="G927" s="8" t="s">
        <v>192</v>
      </c>
      <c r="H927" s="70">
        <f>380-196.8</f>
        <v>183.2</v>
      </c>
      <c r="I927" s="70">
        <v>380</v>
      </c>
      <c r="J927" s="13">
        <v>380</v>
      </c>
    </row>
    <row r="928" spans="1:10" ht="37.5">
      <c r="A928" s="26"/>
      <c r="B928" s="95" t="s">
        <v>465</v>
      </c>
      <c r="C928" s="11" t="s">
        <v>15</v>
      </c>
      <c r="D928" s="11" t="s">
        <v>52</v>
      </c>
      <c r="E928" s="1" t="s">
        <v>27</v>
      </c>
      <c r="F928" s="1" t="s">
        <v>463</v>
      </c>
      <c r="G928" s="1"/>
      <c r="H928" s="62">
        <f>H929+H932</f>
        <v>1019.3</v>
      </c>
      <c r="I928" s="62">
        <f>I929+I932</f>
        <v>821</v>
      </c>
      <c r="J928" s="188">
        <f>J929+J932</f>
        <v>821</v>
      </c>
    </row>
    <row r="929" spans="1:10" ht="18.75">
      <c r="A929" s="26"/>
      <c r="B929" s="110" t="s">
        <v>142</v>
      </c>
      <c r="C929" s="22" t="s">
        <v>15</v>
      </c>
      <c r="D929" s="22" t="s">
        <v>52</v>
      </c>
      <c r="E929" s="23" t="s">
        <v>27</v>
      </c>
      <c r="F929" s="23" t="s">
        <v>524</v>
      </c>
      <c r="G929" s="23"/>
      <c r="H929" s="66">
        <f>SUM(H930:H931)</f>
        <v>321</v>
      </c>
      <c r="I929" s="66">
        <f>SUM(I930:I931)</f>
        <v>321</v>
      </c>
      <c r="J929" s="186">
        <f>SUM(J930:J931)</f>
        <v>321</v>
      </c>
    </row>
    <row r="930" spans="1:10" ht="54">
      <c r="A930" s="26"/>
      <c r="B930" s="92" t="s">
        <v>201</v>
      </c>
      <c r="C930" s="21" t="s">
        <v>15</v>
      </c>
      <c r="D930" s="21" t="s">
        <v>52</v>
      </c>
      <c r="E930" s="21" t="s">
        <v>27</v>
      </c>
      <c r="F930" s="21" t="s">
        <v>524</v>
      </c>
      <c r="G930" s="21" t="s">
        <v>191</v>
      </c>
      <c r="H930" s="68">
        <f>132+9</f>
        <v>141</v>
      </c>
      <c r="I930" s="68">
        <f>132+9</f>
        <v>141</v>
      </c>
      <c r="J930" s="99">
        <f>132+9</f>
        <v>141</v>
      </c>
    </row>
    <row r="931" spans="1:10" ht="36">
      <c r="A931" s="26"/>
      <c r="B931" s="102" t="s">
        <v>199</v>
      </c>
      <c r="C931" s="20" t="s">
        <v>15</v>
      </c>
      <c r="D931" s="20" t="s">
        <v>52</v>
      </c>
      <c r="E931" s="20" t="s">
        <v>27</v>
      </c>
      <c r="F931" s="20" t="s">
        <v>524</v>
      </c>
      <c r="G931" s="20" t="s">
        <v>192</v>
      </c>
      <c r="H931" s="69">
        <v>180</v>
      </c>
      <c r="I931" s="69">
        <v>180</v>
      </c>
      <c r="J931" s="234">
        <v>180</v>
      </c>
    </row>
    <row r="932" spans="1:10" ht="18.75">
      <c r="A932" s="26"/>
      <c r="B932" s="110" t="s">
        <v>137</v>
      </c>
      <c r="C932" s="22" t="s">
        <v>15</v>
      </c>
      <c r="D932" s="22" t="s">
        <v>52</v>
      </c>
      <c r="E932" s="23" t="s">
        <v>27</v>
      </c>
      <c r="F932" s="23" t="s">
        <v>525</v>
      </c>
      <c r="G932" s="23"/>
      <c r="H932" s="66">
        <f>H933+H934+H935</f>
        <v>698.3</v>
      </c>
      <c r="I932" s="66">
        <f>I933+I934+I935</f>
        <v>500</v>
      </c>
      <c r="J932" s="66">
        <f>J933+J934+J935</f>
        <v>500</v>
      </c>
    </row>
    <row r="933" spans="1:10" ht="36">
      <c r="A933" s="26"/>
      <c r="B933" s="102" t="s">
        <v>199</v>
      </c>
      <c r="C933" s="20" t="s">
        <v>15</v>
      </c>
      <c r="D933" s="20" t="s">
        <v>52</v>
      </c>
      <c r="E933" s="20" t="s">
        <v>27</v>
      </c>
      <c r="F933" s="20" t="s">
        <v>525</v>
      </c>
      <c r="G933" s="20" t="s">
        <v>192</v>
      </c>
      <c r="H933" s="69">
        <f>365-55</f>
        <v>310</v>
      </c>
      <c r="I933" s="69">
        <v>365</v>
      </c>
      <c r="J933" s="234">
        <v>365</v>
      </c>
    </row>
    <row r="934" spans="1:10" ht="18">
      <c r="A934" s="26"/>
      <c r="B934" s="147" t="s">
        <v>205</v>
      </c>
      <c r="C934" s="55" t="s">
        <v>15</v>
      </c>
      <c r="D934" s="55" t="s">
        <v>52</v>
      </c>
      <c r="E934" s="55" t="s">
        <v>27</v>
      </c>
      <c r="F934" s="55" t="s">
        <v>525</v>
      </c>
      <c r="G934" s="55" t="s">
        <v>193</v>
      </c>
      <c r="H934" s="90">
        <f>135+198.3</f>
        <v>333.3</v>
      </c>
      <c r="I934" s="90">
        <v>135</v>
      </c>
      <c r="J934" s="276">
        <v>135</v>
      </c>
    </row>
    <row r="935" spans="1:10" ht="36">
      <c r="A935" s="26"/>
      <c r="B935" s="93" t="s">
        <v>204</v>
      </c>
      <c r="C935" s="9" t="s">
        <v>15</v>
      </c>
      <c r="D935" s="9" t="s">
        <v>52</v>
      </c>
      <c r="E935" s="9" t="s">
        <v>27</v>
      </c>
      <c r="F935" s="9" t="s">
        <v>525</v>
      </c>
      <c r="G935" s="9" t="s">
        <v>196</v>
      </c>
      <c r="H935" s="70">
        <v>55</v>
      </c>
      <c r="I935" s="70">
        <v>0</v>
      </c>
      <c r="J935" s="13">
        <v>0</v>
      </c>
    </row>
    <row r="936" spans="1:10" ht="37.5">
      <c r="A936" s="26"/>
      <c r="B936" s="95" t="s">
        <v>478</v>
      </c>
      <c r="C936" s="11" t="s">
        <v>15</v>
      </c>
      <c r="D936" s="11" t="s">
        <v>52</v>
      </c>
      <c r="E936" s="1" t="s">
        <v>27</v>
      </c>
      <c r="F936" s="1" t="s">
        <v>477</v>
      </c>
      <c r="G936" s="1"/>
      <c r="H936" s="62">
        <f>H937+H939</f>
        <v>223.70000000000005</v>
      </c>
      <c r="I936" s="62">
        <f>I937+I939</f>
        <v>2308.6</v>
      </c>
      <c r="J936" s="188">
        <f>J937+J939</f>
        <v>2308.6</v>
      </c>
    </row>
    <row r="937" spans="1:10" ht="37.5">
      <c r="A937" s="26"/>
      <c r="B937" s="108" t="s">
        <v>188</v>
      </c>
      <c r="C937" s="11" t="s">
        <v>15</v>
      </c>
      <c r="D937" s="11" t="s">
        <v>52</v>
      </c>
      <c r="E937" s="1" t="s">
        <v>27</v>
      </c>
      <c r="F937" s="1" t="s">
        <v>526</v>
      </c>
      <c r="G937" s="1"/>
      <c r="H937" s="62">
        <f>SUM(H938:H938)</f>
        <v>125.00000000000001</v>
      </c>
      <c r="I937" s="62">
        <f>SUM(I938:I938)</f>
        <v>1008.6</v>
      </c>
      <c r="J937" s="188">
        <f>SUM(J938:J938)</f>
        <v>1008.6</v>
      </c>
    </row>
    <row r="938" spans="1:10" ht="36">
      <c r="A938" s="26"/>
      <c r="B938" s="93" t="s">
        <v>199</v>
      </c>
      <c r="C938" s="9" t="s">
        <v>15</v>
      </c>
      <c r="D938" s="9" t="s">
        <v>52</v>
      </c>
      <c r="E938" s="9" t="s">
        <v>27</v>
      </c>
      <c r="F938" s="9" t="s">
        <v>526</v>
      </c>
      <c r="G938" s="9" t="s">
        <v>192</v>
      </c>
      <c r="H938" s="70">
        <f>1008.6-775-171.4+62.8</f>
        <v>125.00000000000001</v>
      </c>
      <c r="I938" s="70">
        <v>1008.6</v>
      </c>
      <c r="J938" s="13">
        <v>1008.6</v>
      </c>
    </row>
    <row r="939" spans="1:10" ht="18.75">
      <c r="A939" s="26"/>
      <c r="B939" s="108" t="s">
        <v>148</v>
      </c>
      <c r="C939" s="11" t="s">
        <v>15</v>
      </c>
      <c r="D939" s="11" t="s">
        <v>52</v>
      </c>
      <c r="E939" s="1" t="s">
        <v>27</v>
      </c>
      <c r="F939" s="1" t="s">
        <v>527</v>
      </c>
      <c r="G939" s="1"/>
      <c r="H939" s="62">
        <f>H940</f>
        <v>98.70000000000002</v>
      </c>
      <c r="I939" s="62">
        <f>I940</f>
        <v>1300</v>
      </c>
      <c r="J939" s="188">
        <f>J940</f>
        <v>1300</v>
      </c>
    </row>
    <row r="940" spans="1:12" ht="36">
      <c r="A940" s="26"/>
      <c r="B940" s="93" t="s">
        <v>199</v>
      </c>
      <c r="C940" s="9" t="s">
        <v>15</v>
      </c>
      <c r="D940" s="9" t="s">
        <v>52</v>
      </c>
      <c r="E940" s="9" t="s">
        <v>27</v>
      </c>
      <c r="F940" s="9" t="s">
        <v>527</v>
      </c>
      <c r="G940" s="9" t="s">
        <v>192</v>
      </c>
      <c r="H940" s="70">
        <f>1300-968.4-233+0.1</f>
        <v>98.70000000000002</v>
      </c>
      <c r="I940" s="70">
        <v>1300</v>
      </c>
      <c r="J940" s="13">
        <v>1300</v>
      </c>
      <c r="L940" s="204"/>
    </row>
    <row r="941" spans="1:10" ht="37.5">
      <c r="A941" s="26"/>
      <c r="B941" s="95" t="s">
        <v>150</v>
      </c>
      <c r="C941" s="11" t="s">
        <v>15</v>
      </c>
      <c r="D941" s="11" t="s">
        <v>52</v>
      </c>
      <c r="E941" s="1" t="s">
        <v>27</v>
      </c>
      <c r="F941" s="1" t="s">
        <v>508</v>
      </c>
      <c r="G941" s="1"/>
      <c r="H941" s="62">
        <f>H942+H944</f>
        <v>337.6</v>
      </c>
      <c r="I941" s="62">
        <f>I942+I944</f>
        <v>706.2</v>
      </c>
      <c r="J941" s="188">
        <f>J942+J944</f>
        <v>706.2</v>
      </c>
    </row>
    <row r="942" spans="1:10" ht="37.5">
      <c r="A942" s="26"/>
      <c r="B942" s="108" t="s">
        <v>146</v>
      </c>
      <c r="C942" s="11" t="s">
        <v>15</v>
      </c>
      <c r="D942" s="11" t="s">
        <v>52</v>
      </c>
      <c r="E942" s="1" t="s">
        <v>27</v>
      </c>
      <c r="F942" s="1" t="s">
        <v>528</v>
      </c>
      <c r="G942" s="1"/>
      <c r="H942" s="62">
        <f>SUM(H943:H943)</f>
        <v>0</v>
      </c>
      <c r="I942" s="62">
        <f>SUM(I943:I943)</f>
        <v>341.2</v>
      </c>
      <c r="J942" s="188">
        <f>SUM(J943:J943)</f>
        <v>341.2</v>
      </c>
    </row>
    <row r="943" spans="1:10" ht="36">
      <c r="A943" s="26"/>
      <c r="B943" s="93" t="s">
        <v>199</v>
      </c>
      <c r="C943" s="9" t="s">
        <v>15</v>
      </c>
      <c r="D943" s="9" t="s">
        <v>52</v>
      </c>
      <c r="E943" s="9" t="s">
        <v>27</v>
      </c>
      <c r="F943" s="9" t="s">
        <v>528</v>
      </c>
      <c r="G943" s="9" t="s">
        <v>192</v>
      </c>
      <c r="H943" s="70">
        <f>331.2+10-223.1-118.1</f>
        <v>0</v>
      </c>
      <c r="I943" s="70">
        <v>341.2</v>
      </c>
      <c r="J943" s="13">
        <v>341.2</v>
      </c>
    </row>
    <row r="944" spans="1:10" ht="37.5">
      <c r="A944" s="26"/>
      <c r="B944" s="108" t="s">
        <v>147</v>
      </c>
      <c r="C944" s="11" t="s">
        <v>15</v>
      </c>
      <c r="D944" s="11" t="s">
        <v>52</v>
      </c>
      <c r="E944" s="1" t="s">
        <v>27</v>
      </c>
      <c r="F944" s="1" t="s">
        <v>529</v>
      </c>
      <c r="G944" s="1"/>
      <c r="H944" s="62">
        <f>H945</f>
        <v>337.6</v>
      </c>
      <c r="I944" s="62">
        <f>I945</f>
        <v>365</v>
      </c>
      <c r="J944" s="188">
        <f>J945</f>
        <v>365</v>
      </c>
    </row>
    <row r="945" spans="1:10" ht="36">
      <c r="A945" s="26"/>
      <c r="B945" s="93" t="s">
        <v>199</v>
      </c>
      <c r="C945" s="9" t="s">
        <v>15</v>
      </c>
      <c r="D945" s="9" t="s">
        <v>52</v>
      </c>
      <c r="E945" s="9" t="s">
        <v>27</v>
      </c>
      <c r="F945" s="9" t="s">
        <v>529</v>
      </c>
      <c r="G945" s="9" t="s">
        <v>192</v>
      </c>
      <c r="H945" s="70">
        <f>365-27.4</f>
        <v>337.6</v>
      </c>
      <c r="I945" s="70">
        <v>365</v>
      </c>
      <c r="J945" s="13">
        <v>365</v>
      </c>
    </row>
    <row r="946" spans="1:10" ht="37.5">
      <c r="A946" s="26"/>
      <c r="B946" s="95" t="s">
        <v>481</v>
      </c>
      <c r="C946" s="11" t="s">
        <v>15</v>
      </c>
      <c r="D946" s="11" t="s">
        <v>52</v>
      </c>
      <c r="E946" s="1" t="s">
        <v>27</v>
      </c>
      <c r="F946" s="1" t="s">
        <v>479</v>
      </c>
      <c r="G946" s="1"/>
      <c r="H946" s="62">
        <f>H947+H949</f>
        <v>1798.6</v>
      </c>
      <c r="I946" s="62">
        <f>I947+I949</f>
        <v>3393.4</v>
      </c>
      <c r="J946" s="188">
        <f>J947+J949</f>
        <v>3393.4</v>
      </c>
    </row>
    <row r="947" spans="1:10" ht="37.5">
      <c r="A947" s="26"/>
      <c r="B947" s="119" t="s">
        <v>149</v>
      </c>
      <c r="C947" s="29" t="s">
        <v>15</v>
      </c>
      <c r="D947" s="29" t="s">
        <v>52</v>
      </c>
      <c r="E947" s="30" t="s">
        <v>27</v>
      </c>
      <c r="F947" s="30" t="s">
        <v>530</v>
      </c>
      <c r="G947" s="30"/>
      <c r="H947" s="65">
        <f>SUM(H948:H948)</f>
        <v>1796.5</v>
      </c>
      <c r="I947" s="65">
        <f>SUM(I948:I948)</f>
        <v>3293.4</v>
      </c>
      <c r="J947" s="100">
        <f>SUM(J948:J948)</f>
        <v>3293.4</v>
      </c>
    </row>
    <row r="948" spans="1:10" ht="36">
      <c r="A948" s="26"/>
      <c r="B948" s="93" t="s">
        <v>199</v>
      </c>
      <c r="C948" s="9" t="s">
        <v>15</v>
      </c>
      <c r="D948" s="9" t="s">
        <v>52</v>
      </c>
      <c r="E948" s="9" t="s">
        <v>27</v>
      </c>
      <c r="F948" s="9" t="s">
        <v>530</v>
      </c>
      <c r="G948" s="9" t="s">
        <v>192</v>
      </c>
      <c r="H948" s="70">
        <f>3293.4+900-1194.2-296.2-906.5</f>
        <v>1796.5</v>
      </c>
      <c r="I948" s="70">
        <v>3293.4</v>
      </c>
      <c r="J948" s="13">
        <f>3293.4</f>
        <v>3293.4</v>
      </c>
    </row>
    <row r="949" spans="1:10" ht="18.75">
      <c r="A949" s="26"/>
      <c r="B949" s="119" t="s">
        <v>177</v>
      </c>
      <c r="C949" s="29" t="s">
        <v>15</v>
      </c>
      <c r="D949" s="29" t="s">
        <v>52</v>
      </c>
      <c r="E949" s="30" t="s">
        <v>27</v>
      </c>
      <c r="F949" s="30" t="s">
        <v>531</v>
      </c>
      <c r="G949" s="30"/>
      <c r="H949" s="65">
        <f>SUM(H950:H950)</f>
        <v>2.0999999999999943</v>
      </c>
      <c r="I949" s="65">
        <f>SUM(I950:I950)</f>
        <v>100</v>
      </c>
      <c r="J949" s="100">
        <f>SUM(J950:J950)</f>
        <v>100</v>
      </c>
    </row>
    <row r="950" spans="1:10" ht="36">
      <c r="A950" s="26"/>
      <c r="B950" s="151" t="s">
        <v>199</v>
      </c>
      <c r="C950" s="9" t="s">
        <v>15</v>
      </c>
      <c r="D950" s="9" t="s">
        <v>52</v>
      </c>
      <c r="E950" s="9" t="s">
        <v>27</v>
      </c>
      <c r="F950" s="9" t="s">
        <v>531</v>
      </c>
      <c r="G950" s="9" t="s">
        <v>192</v>
      </c>
      <c r="H950" s="70">
        <f>100-97.9</f>
        <v>2.0999999999999943</v>
      </c>
      <c r="I950" s="70">
        <v>100</v>
      </c>
      <c r="J950" s="13">
        <v>100</v>
      </c>
    </row>
    <row r="951" spans="1:10" ht="56.25">
      <c r="A951" s="26"/>
      <c r="B951" s="96" t="s">
        <v>485</v>
      </c>
      <c r="C951" s="22" t="s">
        <v>15</v>
      </c>
      <c r="D951" s="22" t="s">
        <v>52</v>
      </c>
      <c r="E951" s="23" t="s">
        <v>27</v>
      </c>
      <c r="F951" s="23" t="s">
        <v>484</v>
      </c>
      <c r="G951" s="28"/>
      <c r="H951" s="66">
        <f aca="true" t="shared" si="86" ref="H951:J952">H952</f>
        <v>2100</v>
      </c>
      <c r="I951" s="66">
        <f t="shared" si="86"/>
        <v>2100</v>
      </c>
      <c r="J951" s="186">
        <f t="shared" si="86"/>
        <v>2100</v>
      </c>
    </row>
    <row r="952" spans="1:10" ht="37.5">
      <c r="A952" s="26"/>
      <c r="B952" s="98" t="s">
        <v>225</v>
      </c>
      <c r="C952" s="29" t="s">
        <v>15</v>
      </c>
      <c r="D952" s="29" t="s">
        <v>52</v>
      </c>
      <c r="E952" s="30" t="s">
        <v>27</v>
      </c>
      <c r="F952" s="30" t="s">
        <v>532</v>
      </c>
      <c r="G952" s="21"/>
      <c r="H952" s="65">
        <f t="shared" si="86"/>
        <v>2100</v>
      </c>
      <c r="I952" s="65">
        <f t="shared" si="86"/>
        <v>2100</v>
      </c>
      <c r="J952" s="100">
        <f t="shared" si="86"/>
        <v>2100</v>
      </c>
    </row>
    <row r="953" spans="1:10" ht="36">
      <c r="A953" s="26"/>
      <c r="B953" s="151" t="s">
        <v>199</v>
      </c>
      <c r="C953" s="10" t="s">
        <v>15</v>
      </c>
      <c r="D953" s="10" t="s">
        <v>52</v>
      </c>
      <c r="E953" s="10" t="s">
        <v>27</v>
      </c>
      <c r="F953" s="10" t="s">
        <v>532</v>
      </c>
      <c r="G953" s="10" t="s">
        <v>192</v>
      </c>
      <c r="H953" s="79">
        <v>2100</v>
      </c>
      <c r="I953" s="79">
        <v>2100</v>
      </c>
      <c r="J953" s="245">
        <v>2100</v>
      </c>
    </row>
    <row r="954" spans="1:10" ht="37.5">
      <c r="A954" s="26"/>
      <c r="B954" s="95" t="s">
        <v>693</v>
      </c>
      <c r="C954" s="11" t="s">
        <v>15</v>
      </c>
      <c r="D954" s="11" t="s">
        <v>52</v>
      </c>
      <c r="E954" s="1" t="s">
        <v>27</v>
      </c>
      <c r="F954" s="1" t="s">
        <v>519</v>
      </c>
      <c r="G954" s="1"/>
      <c r="H954" s="62">
        <f>H955+H958</f>
        <v>11863.2</v>
      </c>
      <c r="I954" s="62">
        <f>I955+I958</f>
        <v>11863.3</v>
      </c>
      <c r="J954" s="188">
        <f>J955+J958</f>
        <v>11863.3</v>
      </c>
    </row>
    <row r="955" spans="1:10" ht="18.75">
      <c r="A955" s="26"/>
      <c r="B955" s="108" t="s">
        <v>231</v>
      </c>
      <c r="C955" s="11" t="s">
        <v>15</v>
      </c>
      <c r="D955" s="11" t="s">
        <v>52</v>
      </c>
      <c r="E955" s="1" t="s">
        <v>27</v>
      </c>
      <c r="F955" s="1" t="s">
        <v>533</v>
      </c>
      <c r="G955" s="1"/>
      <c r="H955" s="62">
        <f>H956+H957</f>
        <v>8592.900000000001</v>
      </c>
      <c r="I955" s="62">
        <f>I956+I957</f>
        <v>8593</v>
      </c>
      <c r="J955" s="188">
        <f>J956+J957</f>
        <v>8593</v>
      </c>
    </row>
    <row r="956" spans="1:10" ht="36">
      <c r="A956" s="26"/>
      <c r="B956" s="92" t="s">
        <v>199</v>
      </c>
      <c r="C956" s="21" t="s">
        <v>15</v>
      </c>
      <c r="D956" s="21" t="s">
        <v>52</v>
      </c>
      <c r="E956" s="21" t="s">
        <v>27</v>
      </c>
      <c r="F956" s="21" t="s">
        <v>533</v>
      </c>
      <c r="G956" s="21" t="s">
        <v>192</v>
      </c>
      <c r="H956" s="68">
        <f>3820.9+500+1.6+0.1-651.3</f>
        <v>3671.3</v>
      </c>
      <c r="I956" s="68">
        <f>3820.9+500+1.6+0.1</f>
        <v>4322.6</v>
      </c>
      <c r="J956" s="99">
        <f>3820.9+500+1.6+0.1</f>
        <v>4322.6</v>
      </c>
    </row>
    <row r="957" spans="1:10" ht="36">
      <c r="A957" s="26"/>
      <c r="B957" s="93" t="s">
        <v>204</v>
      </c>
      <c r="C957" s="9" t="s">
        <v>15</v>
      </c>
      <c r="D957" s="9" t="s">
        <v>52</v>
      </c>
      <c r="E957" s="9" t="s">
        <v>27</v>
      </c>
      <c r="F957" s="9" t="s">
        <v>533</v>
      </c>
      <c r="G957" s="9" t="s">
        <v>196</v>
      </c>
      <c r="H957" s="70">
        <f>4579.1+2726.8-2726.8-308.7+651.3-0.1</f>
        <v>4921.6</v>
      </c>
      <c r="I957" s="70">
        <f>4579.1+2726.8-2726.8-308.7</f>
        <v>4270.400000000001</v>
      </c>
      <c r="J957" s="13">
        <f>4579.1+2726.8-2726.8-308.7</f>
        <v>4270.400000000001</v>
      </c>
    </row>
    <row r="958" spans="1:10" ht="37.5">
      <c r="A958" s="26"/>
      <c r="B958" s="96" t="s">
        <v>521</v>
      </c>
      <c r="C958" s="22" t="s">
        <v>15</v>
      </c>
      <c r="D958" s="22" t="s">
        <v>52</v>
      </c>
      <c r="E958" s="23" t="s">
        <v>27</v>
      </c>
      <c r="F958" s="23" t="s">
        <v>520</v>
      </c>
      <c r="G958" s="28"/>
      <c r="H958" s="66">
        <f>SUM(H959:H961)</f>
        <v>3270.3</v>
      </c>
      <c r="I958" s="66">
        <f>SUM(I959:I961)</f>
        <v>3270.3</v>
      </c>
      <c r="J958" s="66">
        <f>SUM(J959:J961)</f>
        <v>3270.3</v>
      </c>
    </row>
    <row r="959" spans="1:10" ht="54">
      <c r="A959" s="26"/>
      <c r="B959" s="148" t="s">
        <v>201</v>
      </c>
      <c r="C959" s="57" t="s">
        <v>15</v>
      </c>
      <c r="D959" s="57" t="s">
        <v>52</v>
      </c>
      <c r="E959" s="57" t="s">
        <v>27</v>
      </c>
      <c r="F959" s="57" t="s">
        <v>520</v>
      </c>
      <c r="G959" s="57" t="s">
        <v>191</v>
      </c>
      <c r="H959" s="120">
        <v>247.9</v>
      </c>
      <c r="I959" s="120">
        <v>0</v>
      </c>
      <c r="J959" s="266">
        <v>0</v>
      </c>
    </row>
    <row r="960" spans="1:10" ht="36">
      <c r="A960" s="26"/>
      <c r="B960" s="102" t="s">
        <v>199</v>
      </c>
      <c r="C960" s="20" t="s">
        <v>15</v>
      </c>
      <c r="D960" s="20" t="s">
        <v>52</v>
      </c>
      <c r="E960" s="20" t="s">
        <v>27</v>
      </c>
      <c r="F960" s="20" t="s">
        <v>520</v>
      </c>
      <c r="G960" s="20" t="s">
        <v>192</v>
      </c>
      <c r="H960" s="69">
        <f>269.8+57.2+2943.3-2217.7</f>
        <v>1052.6000000000004</v>
      </c>
      <c r="I960" s="69">
        <f>296.8+63+2910.5</f>
        <v>3270.3</v>
      </c>
      <c r="J960" s="234">
        <f>296.8+95.7+2877.8</f>
        <v>3270.3</v>
      </c>
    </row>
    <row r="961" spans="1:10" ht="36">
      <c r="A961" s="26"/>
      <c r="B961" s="93" t="s">
        <v>204</v>
      </c>
      <c r="C961" s="20" t="s">
        <v>15</v>
      </c>
      <c r="D961" s="20" t="s">
        <v>52</v>
      </c>
      <c r="E961" s="20" t="s">
        <v>27</v>
      </c>
      <c r="F961" s="20" t="s">
        <v>520</v>
      </c>
      <c r="G961" s="20" t="s">
        <v>196</v>
      </c>
      <c r="H961" s="120">
        <v>1969.8</v>
      </c>
      <c r="I961" s="120">
        <v>0</v>
      </c>
      <c r="J961" s="266">
        <v>0</v>
      </c>
    </row>
    <row r="962" spans="1:10" ht="37.5">
      <c r="A962" s="26"/>
      <c r="B962" s="95" t="s">
        <v>109</v>
      </c>
      <c r="C962" s="11" t="s">
        <v>15</v>
      </c>
      <c r="D962" s="11" t="s">
        <v>52</v>
      </c>
      <c r="E962" s="1" t="s">
        <v>27</v>
      </c>
      <c r="F962" s="1" t="s">
        <v>518</v>
      </c>
      <c r="G962" s="1"/>
      <c r="H962" s="62">
        <f>H963+H968+H970+H972+H974+H966</f>
        <v>4552.4</v>
      </c>
      <c r="I962" s="62">
        <f>I963+I968+I970+I972+I974+I966</f>
        <v>4552.4</v>
      </c>
      <c r="J962" s="188">
        <f>J963+J968+J970+J972+J974+J966</f>
        <v>4552.4</v>
      </c>
    </row>
    <row r="963" spans="1:10" ht="37.5">
      <c r="A963" s="26"/>
      <c r="B963" s="119" t="s">
        <v>143</v>
      </c>
      <c r="C963" s="29" t="s">
        <v>15</v>
      </c>
      <c r="D963" s="29" t="s">
        <v>52</v>
      </c>
      <c r="E963" s="30" t="s">
        <v>27</v>
      </c>
      <c r="F963" s="30" t="s">
        <v>534</v>
      </c>
      <c r="G963" s="30"/>
      <c r="H963" s="65">
        <f>H964+H965</f>
        <v>578.8</v>
      </c>
      <c r="I963" s="65">
        <f>I964+I965</f>
        <v>578.8</v>
      </c>
      <c r="J963" s="100">
        <f>J964+J965</f>
        <v>578.8</v>
      </c>
    </row>
    <row r="964" spans="1:10" ht="36">
      <c r="A964" s="26"/>
      <c r="B964" s="147" t="s">
        <v>199</v>
      </c>
      <c r="C964" s="55" t="s">
        <v>15</v>
      </c>
      <c r="D964" s="55" t="s">
        <v>52</v>
      </c>
      <c r="E964" s="55" t="s">
        <v>27</v>
      </c>
      <c r="F964" s="55" t="s">
        <v>534</v>
      </c>
      <c r="G964" s="55" t="s">
        <v>192</v>
      </c>
      <c r="H964" s="90">
        <f>580-1.2-42</f>
        <v>536.8</v>
      </c>
      <c r="I964" s="90">
        <f>580-1.2</f>
        <v>578.8</v>
      </c>
      <c r="J964" s="276">
        <f>580-1.2</f>
        <v>578.8</v>
      </c>
    </row>
    <row r="965" spans="1:10" ht="36">
      <c r="A965" s="26"/>
      <c r="B965" s="93" t="s">
        <v>204</v>
      </c>
      <c r="C965" s="9" t="s">
        <v>15</v>
      </c>
      <c r="D965" s="9" t="s">
        <v>52</v>
      </c>
      <c r="E965" s="9" t="s">
        <v>27</v>
      </c>
      <c r="F965" s="9" t="s">
        <v>534</v>
      </c>
      <c r="G965" s="9" t="s">
        <v>196</v>
      </c>
      <c r="H965" s="70">
        <v>42</v>
      </c>
      <c r="I965" s="70">
        <v>0</v>
      </c>
      <c r="J965" s="13">
        <v>0</v>
      </c>
    </row>
    <row r="966" spans="1:10" ht="18.75">
      <c r="A966" s="26"/>
      <c r="B966" s="119" t="s">
        <v>144</v>
      </c>
      <c r="C966" s="29" t="s">
        <v>15</v>
      </c>
      <c r="D966" s="29" t="s">
        <v>52</v>
      </c>
      <c r="E966" s="30" t="s">
        <v>27</v>
      </c>
      <c r="F966" s="30" t="s">
        <v>535</v>
      </c>
      <c r="G966" s="30"/>
      <c r="H966" s="65">
        <f>SUM(H967:H967)</f>
        <v>121.2</v>
      </c>
      <c r="I966" s="65">
        <f>SUM(I967:I967)</f>
        <v>121.2</v>
      </c>
      <c r="J966" s="100">
        <f>SUM(J967:J967)</f>
        <v>121.2</v>
      </c>
    </row>
    <row r="967" spans="1:10" ht="18">
      <c r="A967" s="26"/>
      <c r="B967" s="93" t="s">
        <v>205</v>
      </c>
      <c r="C967" s="9" t="s">
        <v>15</v>
      </c>
      <c r="D967" s="9" t="s">
        <v>52</v>
      </c>
      <c r="E967" s="9" t="s">
        <v>27</v>
      </c>
      <c r="F967" s="9" t="s">
        <v>535</v>
      </c>
      <c r="G967" s="9" t="s">
        <v>193</v>
      </c>
      <c r="H967" s="70">
        <f>120+1.2</f>
        <v>121.2</v>
      </c>
      <c r="I967" s="70">
        <f>120+1.2</f>
        <v>121.2</v>
      </c>
      <c r="J967" s="13">
        <f>120+1.2</f>
        <v>121.2</v>
      </c>
    </row>
    <row r="968" spans="1:10" ht="18.75">
      <c r="A968" s="26"/>
      <c r="B968" s="119" t="s">
        <v>145</v>
      </c>
      <c r="C968" s="29" t="s">
        <v>15</v>
      </c>
      <c r="D968" s="29" t="s">
        <v>52</v>
      </c>
      <c r="E968" s="30" t="s">
        <v>27</v>
      </c>
      <c r="F968" s="30" t="s">
        <v>536</v>
      </c>
      <c r="G968" s="30"/>
      <c r="H968" s="65">
        <f>H969</f>
        <v>8</v>
      </c>
      <c r="I968" s="65">
        <f>I969</f>
        <v>8</v>
      </c>
      <c r="J968" s="100">
        <f>J969</f>
        <v>8</v>
      </c>
    </row>
    <row r="969" spans="1:10" ht="36">
      <c r="A969" s="26"/>
      <c r="B969" s="93" t="s">
        <v>199</v>
      </c>
      <c r="C969" s="9" t="s">
        <v>15</v>
      </c>
      <c r="D969" s="9" t="s">
        <v>52</v>
      </c>
      <c r="E969" s="9" t="s">
        <v>27</v>
      </c>
      <c r="F969" s="9" t="s">
        <v>536</v>
      </c>
      <c r="G969" s="9" t="s">
        <v>192</v>
      </c>
      <c r="H969" s="70">
        <v>8</v>
      </c>
      <c r="I969" s="70">
        <v>8</v>
      </c>
      <c r="J969" s="13">
        <v>8</v>
      </c>
    </row>
    <row r="970" spans="1:10" ht="18.75">
      <c r="A970" s="26"/>
      <c r="B970" s="119" t="s">
        <v>134</v>
      </c>
      <c r="C970" s="29" t="s">
        <v>15</v>
      </c>
      <c r="D970" s="29" t="s">
        <v>52</v>
      </c>
      <c r="E970" s="30" t="s">
        <v>27</v>
      </c>
      <c r="F970" s="30" t="s">
        <v>537</v>
      </c>
      <c r="G970" s="30"/>
      <c r="H970" s="65">
        <f>SUM(H971:H971)</f>
        <v>400</v>
      </c>
      <c r="I970" s="65">
        <f>SUM(I971:I971)</f>
        <v>400</v>
      </c>
      <c r="J970" s="100">
        <f>SUM(J971:J971)</f>
        <v>400</v>
      </c>
    </row>
    <row r="971" spans="1:10" ht="36">
      <c r="A971" s="26"/>
      <c r="B971" s="93" t="s">
        <v>199</v>
      </c>
      <c r="C971" s="9" t="s">
        <v>15</v>
      </c>
      <c r="D971" s="9" t="s">
        <v>52</v>
      </c>
      <c r="E971" s="9" t="s">
        <v>27</v>
      </c>
      <c r="F971" s="9" t="s">
        <v>537</v>
      </c>
      <c r="G971" s="9" t="s">
        <v>192</v>
      </c>
      <c r="H971" s="70">
        <v>400</v>
      </c>
      <c r="I971" s="70">
        <v>400</v>
      </c>
      <c r="J971" s="13">
        <v>400</v>
      </c>
    </row>
    <row r="972" spans="1:10" ht="37.5">
      <c r="A972" s="26"/>
      <c r="B972" s="119" t="s">
        <v>136</v>
      </c>
      <c r="C972" s="29" t="s">
        <v>15</v>
      </c>
      <c r="D972" s="29" t="s">
        <v>52</v>
      </c>
      <c r="E972" s="30" t="s">
        <v>27</v>
      </c>
      <c r="F972" s="30" t="s">
        <v>538</v>
      </c>
      <c r="G972" s="30"/>
      <c r="H972" s="65">
        <f>SUM(H973:H973)</f>
        <v>3344.4</v>
      </c>
      <c r="I972" s="65">
        <f>SUM(I973:I973)</f>
        <v>3344.4</v>
      </c>
      <c r="J972" s="100">
        <f>SUM(J973:J973)</f>
        <v>3344.4</v>
      </c>
    </row>
    <row r="973" spans="1:10" ht="36">
      <c r="A973" s="26"/>
      <c r="B973" s="93" t="s">
        <v>199</v>
      </c>
      <c r="C973" s="9" t="s">
        <v>15</v>
      </c>
      <c r="D973" s="9" t="s">
        <v>52</v>
      </c>
      <c r="E973" s="9" t="s">
        <v>27</v>
      </c>
      <c r="F973" s="9" t="s">
        <v>538</v>
      </c>
      <c r="G973" s="9" t="s">
        <v>192</v>
      </c>
      <c r="H973" s="70">
        <f>5205-1860.6</f>
        <v>3344.4</v>
      </c>
      <c r="I973" s="70">
        <f>5205-1860.6</f>
        <v>3344.4</v>
      </c>
      <c r="J973" s="13">
        <f>5205-1860.6</f>
        <v>3344.4</v>
      </c>
    </row>
    <row r="974" spans="1:10" ht="37.5">
      <c r="A974" s="26"/>
      <c r="B974" s="119" t="s">
        <v>218</v>
      </c>
      <c r="C974" s="29" t="s">
        <v>15</v>
      </c>
      <c r="D974" s="29" t="s">
        <v>52</v>
      </c>
      <c r="E974" s="30" t="s">
        <v>27</v>
      </c>
      <c r="F974" s="30" t="s">
        <v>539</v>
      </c>
      <c r="G974" s="30"/>
      <c r="H974" s="65">
        <f>H975</f>
        <v>100</v>
      </c>
      <c r="I974" s="65">
        <f>I975</f>
        <v>100</v>
      </c>
      <c r="J974" s="100">
        <f>J975</f>
        <v>100</v>
      </c>
    </row>
    <row r="975" spans="1:10" ht="36">
      <c r="A975" s="26"/>
      <c r="B975" s="93" t="s">
        <v>199</v>
      </c>
      <c r="C975" s="9" t="s">
        <v>15</v>
      </c>
      <c r="D975" s="9" t="s">
        <v>52</v>
      </c>
      <c r="E975" s="9" t="s">
        <v>27</v>
      </c>
      <c r="F975" s="9" t="s">
        <v>539</v>
      </c>
      <c r="G975" s="9" t="s">
        <v>192</v>
      </c>
      <c r="H975" s="70">
        <v>100</v>
      </c>
      <c r="I975" s="70">
        <v>100</v>
      </c>
      <c r="J975" s="13">
        <v>100</v>
      </c>
    </row>
    <row r="976" spans="1:10" ht="56.25">
      <c r="A976" s="26"/>
      <c r="B976" s="95" t="s">
        <v>543</v>
      </c>
      <c r="C976" s="11" t="s">
        <v>15</v>
      </c>
      <c r="D976" s="11" t="s">
        <v>52</v>
      </c>
      <c r="E976" s="1" t="s">
        <v>27</v>
      </c>
      <c r="F976" s="1" t="s">
        <v>540</v>
      </c>
      <c r="G976" s="1"/>
      <c r="H976" s="62">
        <f>H977</f>
        <v>1922.1999999999998</v>
      </c>
      <c r="I976" s="62">
        <f>I977</f>
        <v>1922.1999999999998</v>
      </c>
      <c r="J976" s="188">
        <f>J977</f>
        <v>1922.1999999999998</v>
      </c>
    </row>
    <row r="977" spans="1:10" ht="131.25">
      <c r="A977" s="26"/>
      <c r="B977" s="198" t="s">
        <v>542</v>
      </c>
      <c r="C977" s="1" t="s">
        <v>15</v>
      </c>
      <c r="D977" s="1" t="s">
        <v>52</v>
      </c>
      <c r="E977" s="1" t="s">
        <v>27</v>
      </c>
      <c r="F977" s="1" t="s">
        <v>541</v>
      </c>
      <c r="G977" s="12"/>
      <c r="H977" s="62">
        <f>SUM(H978:H979)</f>
        <v>1922.1999999999998</v>
      </c>
      <c r="I977" s="62">
        <f>SUM(I978:I979)</f>
        <v>1922.1999999999998</v>
      </c>
      <c r="J977" s="188">
        <f>SUM(J978:J979)</f>
        <v>1922.1999999999998</v>
      </c>
    </row>
    <row r="978" spans="1:10" ht="54">
      <c r="A978" s="26"/>
      <c r="B978" s="150" t="s">
        <v>201</v>
      </c>
      <c r="C978" s="21" t="s">
        <v>15</v>
      </c>
      <c r="D978" s="21" t="s">
        <v>52</v>
      </c>
      <c r="E978" s="21" t="s">
        <v>27</v>
      </c>
      <c r="F978" s="21" t="s">
        <v>541</v>
      </c>
      <c r="G978" s="19" t="s">
        <v>191</v>
      </c>
      <c r="H978" s="68">
        <v>1601.8</v>
      </c>
      <c r="I978" s="68">
        <v>1601.8</v>
      </c>
      <c r="J978" s="99">
        <v>1601.8</v>
      </c>
    </row>
    <row r="979" spans="1:10" ht="36">
      <c r="A979" s="26"/>
      <c r="B979" s="151" t="s">
        <v>199</v>
      </c>
      <c r="C979" s="9" t="s">
        <v>15</v>
      </c>
      <c r="D979" s="9" t="s">
        <v>52</v>
      </c>
      <c r="E979" s="9" t="s">
        <v>27</v>
      </c>
      <c r="F979" s="9" t="s">
        <v>541</v>
      </c>
      <c r="G979" s="8" t="s">
        <v>192</v>
      </c>
      <c r="H979" s="70">
        <v>320.4</v>
      </c>
      <c r="I979" s="70">
        <v>320.4</v>
      </c>
      <c r="J979" s="13">
        <v>320.4</v>
      </c>
    </row>
    <row r="980" spans="1:10" ht="56.25">
      <c r="A980" s="26"/>
      <c r="B980" s="96" t="s">
        <v>232</v>
      </c>
      <c r="C980" s="22" t="s">
        <v>15</v>
      </c>
      <c r="D980" s="22" t="s">
        <v>52</v>
      </c>
      <c r="E980" s="23" t="s">
        <v>27</v>
      </c>
      <c r="F980" s="23" t="s">
        <v>339</v>
      </c>
      <c r="G980" s="28"/>
      <c r="H980" s="66">
        <f aca="true" t="shared" si="87" ref="H980:J981">H981</f>
        <v>240.6</v>
      </c>
      <c r="I980" s="66">
        <f t="shared" si="87"/>
        <v>240.6</v>
      </c>
      <c r="J980" s="186">
        <f t="shared" si="87"/>
        <v>240.6</v>
      </c>
    </row>
    <row r="981" spans="1:10" ht="18.75">
      <c r="A981" s="26"/>
      <c r="B981" s="96" t="s">
        <v>294</v>
      </c>
      <c r="C981" s="22" t="s">
        <v>15</v>
      </c>
      <c r="D981" s="22" t="s">
        <v>52</v>
      </c>
      <c r="E981" s="23" t="s">
        <v>27</v>
      </c>
      <c r="F981" s="23" t="s">
        <v>340</v>
      </c>
      <c r="G981" s="28"/>
      <c r="H981" s="66">
        <f t="shared" si="87"/>
        <v>240.6</v>
      </c>
      <c r="I981" s="66">
        <f t="shared" si="87"/>
        <v>240.6</v>
      </c>
      <c r="J981" s="186">
        <f t="shared" si="87"/>
        <v>240.6</v>
      </c>
    </row>
    <row r="982" spans="1:10" ht="37.5">
      <c r="A982" s="26"/>
      <c r="B982" s="110" t="s">
        <v>358</v>
      </c>
      <c r="C982" s="3" t="s">
        <v>15</v>
      </c>
      <c r="D982" s="3" t="s">
        <v>52</v>
      </c>
      <c r="E982" s="4" t="s">
        <v>27</v>
      </c>
      <c r="F982" s="4" t="s">
        <v>356</v>
      </c>
      <c r="G982" s="15"/>
      <c r="H982" s="66">
        <f aca="true" t="shared" si="88" ref="H982:J983">H983</f>
        <v>240.6</v>
      </c>
      <c r="I982" s="66">
        <f t="shared" si="88"/>
        <v>240.6</v>
      </c>
      <c r="J982" s="186">
        <f t="shared" si="88"/>
        <v>240.6</v>
      </c>
    </row>
    <row r="983" spans="1:10" ht="37.5">
      <c r="A983" s="26"/>
      <c r="B983" s="117" t="s">
        <v>239</v>
      </c>
      <c r="C983" s="16" t="s">
        <v>15</v>
      </c>
      <c r="D983" s="16" t="s">
        <v>52</v>
      </c>
      <c r="E983" s="17" t="s">
        <v>27</v>
      </c>
      <c r="F983" s="17" t="s">
        <v>357</v>
      </c>
      <c r="G983" s="18"/>
      <c r="H983" s="62">
        <f t="shared" si="88"/>
        <v>240.6</v>
      </c>
      <c r="I983" s="62">
        <f t="shared" si="88"/>
        <v>240.6</v>
      </c>
      <c r="J983" s="188">
        <f t="shared" si="88"/>
        <v>240.6</v>
      </c>
    </row>
    <row r="984" spans="1:10" ht="36">
      <c r="A984" s="26"/>
      <c r="B984" s="107" t="s">
        <v>550</v>
      </c>
      <c r="C984" s="8" t="s">
        <v>15</v>
      </c>
      <c r="D984" s="8" t="s">
        <v>52</v>
      </c>
      <c r="E984" s="8" t="s">
        <v>27</v>
      </c>
      <c r="F984" s="8" t="s">
        <v>357</v>
      </c>
      <c r="G984" s="8" t="s">
        <v>196</v>
      </c>
      <c r="H984" s="70">
        <f>240.6</f>
        <v>240.6</v>
      </c>
      <c r="I984" s="70">
        <f>240.6</f>
        <v>240.6</v>
      </c>
      <c r="J984" s="13">
        <f>240.6</f>
        <v>240.6</v>
      </c>
    </row>
    <row r="985" spans="1:10" ht="18.75">
      <c r="A985" s="26"/>
      <c r="B985" s="96" t="s">
        <v>73</v>
      </c>
      <c r="C985" s="22" t="s">
        <v>15</v>
      </c>
      <c r="D985" s="22" t="s">
        <v>52</v>
      </c>
      <c r="E985" s="23" t="s">
        <v>27</v>
      </c>
      <c r="F985" s="23" t="s">
        <v>95</v>
      </c>
      <c r="G985" s="28"/>
      <c r="H985" s="66">
        <f aca="true" t="shared" si="89" ref="H985:J987">H986</f>
        <v>11544.4</v>
      </c>
      <c r="I985" s="66">
        <f t="shared" si="89"/>
        <v>11536.3</v>
      </c>
      <c r="J985" s="186">
        <f t="shared" si="89"/>
        <v>11536.3</v>
      </c>
    </row>
    <row r="986" spans="1:10" ht="37.5">
      <c r="A986" s="26"/>
      <c r="B986" s="96" t="s">
        <v>31</v>
      </c>
      <c r="C986" s="22" t="s">
        <v>15</v>
      </c>
      <c r="D986" s="22" t="s">
        <v>52</v>
      </c>
      <c r="E986" s="23" t="s">
        <v>27</v>
      </c>
      <c r="F986" s="23" t="s">
        <v>97</v>
      </c>
      <c r="G986" s="28"/>
      <c r="H986" s="66">
        <f t="shared" si="89"/>
        <v>11544.4</v>
      </c>
      <c r="I986" s="66">
        <f t="shared" si="89"/>
        <v>11536.3</v>
      </c>
      <c r="J986" s="186">
        <f t="shared" si="89"/>
        <v>11536.3</v>
      </c>
    </row>
    <row r="987" spans="1:10" ht="18.75">
      <c r="A987" s="26"/>
      <c r="B987" s="95" t="s">
        <v>35</v>
      </c>
      <c r="C987" s="11" t="s">
        <v>15</v>
      </c>
      <c r="D987" s="11" t="s">
        <v>52</v>
      </c>
      <c r="E987" s="1" t="s">
        <v>27</v>
      </c>
      <c r="F987" s="1" t="s">
        <v>96</v>
      </c>
      <c r="G987" s="12"/>
      <c r="H987" s="62">
        <f t="shared" si="89"/>
        <v>11544.4</v>
      </c>
      <c r="I987" s="62">
        <f t="shared" si="89"/>
        <v>11536.3</v>
      </c>
      <c r="J987" s="188">
        <f t="shared" si="89"/>
        <v>11536.3</v>
      </c>
    </row>
    <row r="988" spans="1:10" ht="18.75">
      <c r="A988" s="26"/>
      <c r="B988" s="95" t="s">
        <v>277</v>
      </c>
      <c r="C988" s="11" t="s">
        <v>15</v>
      </c>
      <c r="D988" s="11" t="s">
        <v>52</v>
      </c>
      <c r="E988" s="1" t="s">
        <v>27</v>
      </c>
      <c r="F988" s="1" t="s">
        <v>276</v>
      </c>
      <c r="G988" s="12"/>
      <c r="H988" s="62">
        <f>H989+H990+H991</f>
        <v>11544.4</v>
      </c>
      <c r="I988" s="62">
        <f>I989+I990+I991</f>
        <v>11536.3</v>
      </c>
      <c r="J988" s="188">
        <f>J989+J990+J991</f>
        <v>11536.3</v>
      </c>
    </row>
    <row r="989" spans="1:10" ht="54">
      <c r="A989" s="26"/>
      <c r="B989" s="166" t="s">
        <v>201</v>
      </c>
      <c r="C989" s="12" t="s">
        <v>15</v>
      </c>
      <c r="D989" s="12" t="s">
        <v>52</v>
      </c>
      <c r="E989" s="12" t="s">
        <v>27</v>
      </c>
      <c r="F989" s="12" t="s">
        <v>276</v>
      </c>
      <c r="G989" s="12" t="s">
        <v>191</v>
      </c>
      <c r="H989" s="168">
        <v>11123.8</v>
      </c>
      <c r="I989" s="168">
        <v>11123.8</v>
      </c>
      <c r="J989" s="258">
        <v>11123.8</v>
      </c>
    </row>
    <row r="990" spans="1:10" ht="36">
      <c r="A990" s="26"/>
      <c r="B990" s="102" t="s">
        <v>199</v>
      </c>
      <c r="C990" s="20" t="s">
        <v>15</v>
      </c>
      <c r="D990" s="20" t="s">
        <v>52</v>
      </c>
      <c r="E990" s="20" t="s">
        <v>27</v>
      </c>
      <c r="F990" s="20" t="s">
        <v>276</v>
      </c>
      <c r="G990" s="20" t="s">
        <v>192</v>
      </c>
      <c r="H990" s="82">
        <f>384.3+8-50+0.1</f>
        <v>342.40000000000003</v>
      </c>
      <c r="I990" s="82">
        <v>384.3</v>
      </c>
      <c r="J990" s="259">
        <v>384.3</v>
      </c>
    </row>
    <row r="991" spans="1:10" ht="18">
      <c r="A991" s="26"/>
      <c r="B991" s="93" t="s">
        <v>200</v>
      </c>
      <c r="C991" s="9" t="s">
        <v>15</v>
      </c>
      <c r="D991" s="9" t="s">
        <v>52</v>
      </c>
      <c r="E991" s="9" t="s">
        <v>27</v>
      </c>
      <c r="F991" s="9" t="s">
        <v>276</v>
      </c>
      <c r="G991" s="9" t="s">
        <v>194</v>
      </c>
      <c r="H991" s="70">
        <f>28.2+50</f>
        <v>78.2</v>
      </c>
      <c r="I991" s="70">
        <v>28.2</v>
      </c>
      <c r="J991" s="13">
        <v>28.2</v>
      </c>
    </row>
    <row r="992" spans="1:10" ht="18.75">
      <c r="A992" s="26"/>
      <c r="B992" s="96" t="s">
        <v>46</v>
      </c>
      <c r="C992" s="22" t="s">
        <v>15</v>
      </c>
      <c r="D992" s="22" t="s">
        <v>28</v>
      </c>
      <c r="E992" s="23"/>
      <c r="F992" s="28"/>
      <c r="G992" s="28"/>
      <c r="H992" s="66">
        <f>H993+H1007</f>
        <v>137350.5</v>
      </c>
      <c r="I992" s="66">
        <f>I993+I1007</f>
        <v>131192.1</v>
      </c>
      <c r="J992" s="186">
        <f>J993+J1007</f>
        <v>138942.1</v>
      </c>
    </row>
    <row r="993" spans="1:10" ht="18.75">
      <c r="A993" s="26"/>
      <c r="B993" s="96" t="s">
        <v>18</v>
      </c>
      <c r="C993" s="22" t="s">
        <v>15</v>
      </c>
      <c r="D993" s="22" t="s">
        <v>28</v>
      </c>
      <c r="E993" s="23" t="s">
        <v>53</v>
      </c>
      <c r="F993" s="28"/>
      <c r="G993" s="28"/>
      <c r="H993" s="66">
        <f aca="true" t="shared" si="90" ref="H993:J995">H994</f>
        <v>119716.1</v>
      </c>
      <c r="I993" s="66">
        <f t="shared" si="90"/>
        <v>113557.70000000001</v>
      </c>
      <c r="J993" s="186">
        <f t="shared" si="90"/>
        <v>121307.7</v>
      </c>
    </row>
    <row r="994" spans="1:10" ht="37.5">
      <c r="A994" s="26"/>
      <c r="B994" s="95" t="s">
        <v>160</v>
      </c>
      <c r="C994" s="11" t="s">
        <v>15</v>
      </c>
      <c r="D994" s="11" t="s">
        <v>28</v>
      </c>
      <c r="E994" s="1" t="s">
        <v>53</v>
      </c>
      <c r="F994" s="1" t="s">
        <v>338</v>
      </c>
      <c r="G994" s="1"/>
      <c r="H994" s="62">
        <f t="shared" si="90"/>
        <v>119716.1</v>
      </c>
      <c r="I994" s="62">
        <f t="shared" si="90"/>
        <v>113557.70000000001</v>
      </c>
      <c r="J994" s="188">
        <f t="shared" si="90"/>
        <v>121307.7</v>
      </c>
    </row>
    <row r="995" spans="1:10" ht="18.75">
      <c r="A995" s="26"/>
      <c r="B995" s="95" t="s">
        <v>294</v>
      </c>
      <c r="C995" s="11" t="s">
        <v>15</v>
      </c>
      <c r="D995" s="11" t="s">
        <v>28</v>
      </c>
      <c r="E995" s="1" t="s">
        <v>53</v>
      </c>
      <c r="F995" s="1" t="s">
        <v>359</v>
      </c>
      <c r="G995" s="1"/>
      <c r="H995" s="62">
        <f t="shared" si="90"/>
        <v>119716.1</v>
      </c>
      <c r="I995" s="62">
        <f t="shared" si="90"/>
        <v>113557.70000000001</v>
      </c>
      <c r="J995" s="188">
        <f t="shared" si="90"/>
        <v>121307.7</v>
      </c>
    </row>
    <row r="996" spans="1:10" ht="56.25">
      <c r="A996" s="26"/>
      <c r="B996" s="95" t="s">
        <v>543</v>
      </c>
      <c r="C996" s="11" t="s">
        <v>15</v>
      </c>
      <c r="D996" s="11" t="s">
        <v>28</v>
      </c>
      <c r="E996" s="1" t="s">
        <v>53</v>
      </c>
      <c r="F996" s="1" t="s">
        <v>540</v>
      </c>
      <c r="G996" s="1"/>
      <c r="H996" s="62">
        <f>H997+H1004+H1001</f>
        <v>119716.1</v>
      </c>
      <c r="I996" s="62">
        <f>I997+I1004+I1001</f>
        <v>113557.70000000001</v>
      </c>
      <c r="J996" s="188">
        <f>J997+J1004+J1001</f>
        <v>121307.7</v>
      </c>
    </row>
    <row r="997" spans="1:10" ht="131.25">
      <c r="A997" s="26"/>
      <c r="B997" s="198" t="s">
        <v>542</v>
      </c>
      <c r="C997" s="1" t="s">
        <v>15</v>
      </c>
      <c r="D997" s="1" t="s">
        <v>28</v>
      </c>
      <c r="E997" s="1" t="s">
        <v>53</v>
      </c>
      <c r="F997" s="1" t="s">
        <v>541</v>
      </c>
      <c r="G997" s="12"/>
      <c r="H997" s="62">
        <f>SUM(H998:H1000)</f>
        <v>30279.5</v>
      </c>
      <c r="I997" s="62">
        <f>SUM(I998:I1000)</f>
        <v>27967.1</v>
      </c>
      <c r="J997" s="188">
        <f>SUM(J998:J1000)</f>
        <v>27967.1</v>
      </c>
    </row>
    <row r="998" spans="1:10" ht="36">
      <c r="A998" s="26"/>
      <c r="B998" s="171" t="s">
        <v>199</v>
      </c>
      <c r="C998" s="21" t="s">
        <v>15</v>
      </c>
      <c r="D998" s="21" t="s">
        <v>28</v>
      </c>
      <c r="E998" s="21" t="s">
        <v>53</v>
      </c>
      <c r="F998" s="21" t="s">
        <v>541</v>
      </c>
      <c r="G998" s="19" t="s">
        <v>192</v>
      </c>
      <c r="H998" s="85">
        <f>11916.5+900.7-0.1-23.6+2312.4-17.8</f>
        <v>15088.1</v>
      </c>
      <c r="I998" s="85">
        <f>11916.5+900.7-0.1</f>
        <v>12817.1</v>
      </c>
      <c r="J998" s="228">
        <f>11916.5+900.7-0.1</f>
        <v>12817.1</v>
      </c>
    </row>
    <row r="999" spans="1:10" ht="18">
      <c r="A999" s="26"/>
      <c r="B999" s="199" t="s">
        <v>205</v>
      </c>
      <c r="C999" s="20" t="s">
        <v>15</v>
      </c>
      <c r="D999" s="20" t="s">
        <v>28</v>
      </c>
      <c r="E999" s="20" t="s">
        <v>53</v>
      </c>
      <c r="F999" s="20" t="s">
        <v>541</v>
      </c>
      <c r="G999" s="200" t="s">
        <v>193</v>
      </c>
      <c r="H999" s="82">
        <f>43+23.6+17.8</f>
        <v>84.39999999999999</v>
      </c>
      <c r="I999" s="82">
        <v>43</v>
      </c>
      <c r="J999" s="259">
        <v>43</v>
      </c>
    </row>
    <row r="1000" spans="1:10" ht="36">
      <c r="A1000" s="26"/>
      <c r="B1000" s="106" t="s">
        <v>204</v>
      </c>
      <c r="C1000" s="9" t="s">
        <v>15</v>
      </c>
      <c r="D1000" s="9" t="s">
        <v>28</v>
      </c>
      <c r="E1000" s="9" t="s">
        <v>53</v>
      </c>
      <c r="F1000" s="9" t="s">
        <v>541</v>
      </c>
      <c r="G1000" s="8" t="s">
        <v>196</v>
      </c>
      <c r="H1000" s="74">
        <v>15107</v>
      </c>
      <c r="I1000" s="74">
        <v>15107</v>
      </c>
      <c r="J1000" s="197">
        <v>15107</v>
      </c>
    </row>
    <row r="1001" spans="1:10" ht="56.25">
      <c r="A1001" s="26"/>
      <c r="B1001" s="153" t="s">
        <v>254</v>
      </c>
      <c r="C1001" s="22" t="s">
        <v>15</v>
      </c>
      <c r="D1001" s="22" t="s">
        <v>28</v>
      </c>
      <c r="E1001" s="23" t="s">
        <v>53</v>
      </c>
      <c r="F1001" s="23" t="s">
        <v>561</v>
      </c>
      <c r="G1001" s="24"/>
      <c r="H1001" s="165">
        <f>H1002+H1003</f>
        <v>29957.300000000003</v>
      </c>
      <c r="I1001" s="165">
        <f>I1002+I1003</f>
        <v>24044.1</v>
      </c>
      <c r="J1001" s="261">
        <f>J1002+J1003</f>
        <v>33462</v>
      </c>
    </row>
    <row r="1002" spans="1:10" ht="36">
      <c r="A1002" s="26"/>
      <c r="B1002" s="171" t="s">
        <v>199</v>
      </c>
      <c r="C1002" s="21" t="s">
        <v>15</v>
      </c>
      <c r="D1002" s="21" t="s">
        <v>28</v>
      </c>
      <c r="E1002" s="21" t="s">
        <v>53</v>
      </c>
      <c r="F1002" s="21" t="s">
        <v>561</v>
      </c>
      <c r="G1002" s="19" t="s">
        <v>192</v>
      </c>
      <c r="H1002" s="85">
        <f>9544.5+507.4-0.1+6676.6</f>
        <v>16728.4</v>
      </c>
      <c r="I1002" s="227">
        <f>6554.4+3827+0.1</f>
        <v>10381.5</v>
      </c>
      <c r="J1002" s="227">
        <f>27548-13100.2</f>
        <v>14447.8</v>
      </c>
    </row>
    <row r="1003" spans="1:10" ht="36">
      <c r="A1003" s="26"/>
      <c r="B1003" s="106" t="s">
        <v>204</v>
      </c>
      <c r="C1003" s="9" t="s">
        <v>15</v>
      </c>
      <c r="D1003" s="9" t="s">
        <v>28</v>
      </c>
      <c r="E1003" s="9" t="s">
        <v>53</v>
      </c>
      <c r="F1003" s="9" t="s">
        <v>561</v>
      </c>
      <c r="G1003" s="8" t="s">
        <v>196</v>
      </c>
      <c r="H1003" s="74">
        <f>12561.2+667.7</f>
        <v>13228.900000000001</v>
      </c>
      <c r="I1003" s="197">
        <f>8625.9+5036.7</f>
        <v>13662.599999999999</v>
      </c>
      <c r="J1003" s="197">
        <f>36254.9-1812.3-15428.4</f>
        <v>19014.199999999997</v>
      </c>
    </row>
    <row r="1004" spans="1:10" ht="56.25">
      <c r="A1004" s="26"/>
      <c r="B1004" s="198" t="s">
        <v>254</v>
      </c>
      <c r="C1004" s="22" t="s">
        <v>15</v>
      </c>
      <c r="D1004" s="22" t="s">
        <v>28</v>
      </c>
      <c r="E1004" s="23" t="s">
        <v>53</v>
      </c>
      <c r="F1004" s="23" t="s">
        <v>544</v>
      </c>
      <c r="G1004" s="28"/>
      <c r="H1004" s="63">
        <f>SUM(H1005:H1006)</f>
        <v>59479.3</v>
      </c>
      <c r="I1004" s="63">
        <f>SUM(I1005:I1006)</f>
        <v>61546.5</v>
      </c>
      <c r="J1004" s="246">
        <f>SUM(J1005:J1006)</f>
        <v>59878.6</v>
      </c>
    </row>
    <row r="1005" spans="1:10" ht="36">
      <c r="A1005" s="26"/>
      <c r="B1005" s="199" t="s">
        <v>199</v>
      </c>
      <c r="C1005" s="200" t="s">
        <v>15</v>
      </c>
      <c r="D1005" s="200" t="s">
        <v>28</v>
      </c>
      <c r="E1005" s="200" t="s">
        <v>53</v>
      </c>
      <c r="F1005" s="20" t="s">
        <v>544</v>
      </c>
      <c r="G1005" s="200" t="s">
        <v>192</v>
      </c>
      <c r="H1005" s="201">
        <f>23347+2334.2</f>
        <v>25681.2</v>
      </c>
      <c r="I1005" s="201">
        <f>27971.7-1397.9</f>
        <v>26573.8</v>
      </c>
      <c r="J1005" s="278">
        <v>25853.6</v>
      </c>
    </row>
    <row r="1006" spans="1:10" ht="36">
      <c r="A1006" s="26"/>
      <c r="B1006" s="106" t="s">
        <v>204</v>
      </c>
      <c r="C1006" s="8" t="s">
        <v>15</v>
      </c>
      <c r="D1006" s="8" t="s">
        <v>28</v>
      </c>
      <c r="E1006" s="8" t="s">
        <v>53</v>
      </c>
      <c r="F1006" s="9" t="s">
        <v>544</v>
      </c>
      <c r="G1006" s="8" t="s">
        <v>196</v>
      </c>
      <c r="H1006" s="64">
        <f>30726.1+3072</f>
        <v>33798.1</v>
      </c>
      <c r="I1006" s="64">
        <f>36812.5-1839.8</f>
        <v>34972.7</v>
      </c>
      <c r="J1006" s="253">
        <f>34024.9+0.1</f>
        <v>34025</v>
      </c>
    </row>
    <row r="1007" spans="1:10" ht="18.75">
      <c r="A1007" s="26"/>
      <c r="B1007" s="96" t="s">
        <v>77</v>
      </c>
      <c r="C1007" s="22" t="s">
        <v>15</v>
      </c>
      <c r="D1007" s="22" t="s">
        <v>28</v>
      </c>
      <c r="E1007" s="23" t="s">
        <v>55</v>
      </c>
      <c r="F1007" s="15"/>
      <c r="G1007" s="28"/>
      <c r="H1007" s="63">
        <f aca="true" t="shared" si="91" ref="H1007:J1010">H1008</f>
        <v>17634.4</v>
      </c>
      <c r="I1007" s="63">
        <f t="shared" si="91"/>
        <v>17634.4</v>
      </c>
      <c r="J1007" s="246">
        <f t="shared" si="91"/>
        <v>17634.4</v>
      </c>
    </row>
    <row r="1008" spans="1:10" ht="37.5">
      <c r="A1008" s="26"/>
      <c r="B1008" s="198" t="s">
        <v>160</v>
      </c>
      <c r="C1008" s="22" t="s">
        <v>15</v>
      </c>
      <c r="D1008" s="22" t="s">
        <v>28</v>
      </c>
      <c r="E1008" s="23" t="s">
        <v>55</v>
      </c>
      <c r="F1008" s="23" t="s">
        <v>338</v>
      </c>
      <c r="G1008" s="28"/>
      <c r="H1008" s="63">
        <f t="shared" si="91"/>
        <v>17634.4</v>
      </c>
      <c r="I1008" s="63">
        <f t="shared" si="91"/>
        <v>17634.4</v>
      </c>
      <c r="J1008" s="246">
        <f t="shared" si="91"/>
        <v>17634.4</v>
      </c>
    </row>
    <row r="1009" spans="1:10" ht="18.75">
      <c r="A1009" s="26"/>
      <c r="B1009" s="132" t="s">
        <v>294</v>
      </c>
      <c r="C1009" s="1" t="s">
        <v>15</v>
      </c>
      <c r="D1009" s="1" t="s">
        <v>28</v>
      </c>
      <c r="E1009" s="1" t="s">
        <v>55</v>
      </c>
      <c r="F1009" s="1" t="s">
        <v>359</v>
      </c>
      <c r="G1009" s="28"/>
      <c r="H1009" s="63">
        <f t="shared" si="91"/>
        <v>17634.4</v>
      </c>
      <c r="I1009" s="63">
        <f t="shared" si="91"/>
        <v>17634.4</v>
      </c>
      <c r="J1009" s="246">
        <f t="shared" si="91"/>
        <v>17634.4</v>
      </c>
    </row>
    <row r="1010" spans="1:10" ht="37.5">
      <c r="A1010" s="26"/>
      <c r="B1010" s="132" t="s">
        <v>467</v>
      </c>
      <c r="C1010" s="1" t="s">
        <v>15</v>
      </c>
      <c r="D1010" s="1" t="s">
        <v>28</v>
      </c>
      <c r="E1010" s="1" t="s">
        <v>55</v>
      </c>
      <c r="F1010" s="1" t="s">
        <v>466</v>
      </c>
      <c r="G1010" s="12"/>
      <c r="H1010" s="61">
        <f t="shared" si="91"/>
        <v>17634.4</v>
      </c>
      <c r="I1010" s="61">
        <f t="shared" si="91"/>
        <v>17634.4</v>
      </c>
      <c r="J1010" s="251">
        <f t="shared" si="91"/>
        <v>17634.4</v>
      </c>
    </row>
    <row r="1011" spans="1:10" ht="56.25">
      <c r="A1011" s="26"/>
      <c r="B1011" s="198" t="s">
        <v>221</v>
      </c>
      <c r="C1011" s="1" t="s">
        <v>15</v>
      </c>
      <c r="D1011" s="1" t="s">
        <v>28</v>
      </c>
      <c r="E1011" s="1" t="s">
        <v>55</v>
      </c>
      <c r="F1011" s="1" t="s">
        <v>522</v>
      </c>
      <c r="G1011" s="28"/>
      <c r="H1011" s="63">
        <f>SUM(H1012:H1013)</f>
        <v>17634.4</v>
      </c>
      <c r="I1011" s="63">
        <f>SUM(I1012:I1013)</f>
        <v>17634.4</v>
      </c>
      <c r="J1011" s="246">
        <f>SUM(J1012:J1013)</f>
        <v>17634.4</v>
      </c>
    </row>
    <row r="1012" spans="1:10" ht="18">
      <c r="A1012" s="26"/>
      <c r="B1012" s="199" t="s">
        <v>205</v>
      </c>
      <c r="C1012" s="200" t="s">
        <v>15</v>
      </c>
      <c r="D1012" s="200" t="s">
        <v>28</v>
      </c>
      <c r="E1012" s="200" t="s">
        <v>55</v>
      </c>
      <c r="F1012" s="20" t="s">
        <v>522</v>
      </c>
      <c r="G1012" s="200" t="s">
        <v>193</v>
      </c>
      <c r="H1012" s="201">
        <v>5191.3</v>
      </c>
      <c r="I1012" s="201">
        <v>5191.3</v>
      </c>
      <c r="J1012" s="278">
        <v>5191.3</v>
      </c>
    </row>
    <row r="1013" spans="1:10" ht="36">
      <c r="A1013" s="26"/>
      <c r="B1013" s="106" t="s">
        <v>204</v>
      </c>
      <c r="C1013" s="8" t="s">
        <v>15</v>
      </c>
      <c r="D1013" s="8" t="s">
        <v>28</v>
      </c>
      <c r="E1013" s="8" t="s">
        <v>55</v>
      </c>
      <c r="F1013" s="9" t="s">
        <v>522</v>
      </c>
      <c r="G1013" s="8" t="s">
        <v>196</v>
      </c>
      <c r="H1013" s="64">
        <v>12443.1</v>
      </c>
      <c r="I1013" s="64">
        <v>12443.1</v>
      </c>
      <c r="J1013" s="253">
        <v>12443.1</v>
      </c>
    </row>
    <row r="1014" spans="1:10" ht="18.75">
      <c r="A1014" s="26"/>
      <c r="B1014" s="96" t="s">
        <v>4</v>
      </c>
      <c r="C1014" s="22" t="s">
        <v>15</v>
      </c>
      <c r="D1014" s="22" t="s">
        <v>111</v>
      </c>
      <c r="E1014" s="23"/>
      <c r="F1014" s="28"/>
      <c r="G1014" s="28"/>
      <c r="H1014" s="66">
        <f>H1015+H1026</f>
        <v>63712.3</v>
      </c>
      <c r="I1014" s="66">
        <f>I1015+I1026</f>
        <v>60631.4</v>
      </c>
      <c r="J1014" s="66">
        <f>J1015+J1026</f>
        <v>60631.4</v>
      </c>
    </row>
    <row r="1015" spans="1:10" ht="18.75">
      <c r="A1015" s="26"/>
      <c r="B1015" s="96" t="s">
        <v>72</v>
      </c>
      <c r="C1015" s="11" t="s">
        <v>15</v>
      </c>
      <c r="D1015" s="11" t="s">
        <v>111</v>
      </c>
      <c r="E1015" s="1" t="s">
        <v>54</v>
      </c>
      <c r="F1015" s="12"/>
      <c r="G1015" s="12"/>
      <c r="H1015" s="62">
        <f>H1021+H1016</f>
        <v>26474.6</v>
      </c>
      <c r="I1015" s="62">
        <f>I1021+I1016</f>
        <v>55706.5</v>
      </c>
      <c r="J1015" s="62">
        <f>J1021+J1016</f>
        <v>55706.5</v>
      </c>
    </row>
    <row r="1016" spans="1:10" ht="37.5">
      <c r="A1016" s="26"/>
      <c r="B1016" s="96" t="s">
        <v>160</v>
      </c>
      <c r="C1016" s="11" t="s">
        <v>15</v>
      </c>
      <c r="D1016" s="11" t="s">
        <v>111</v>
      </c>
      <c r="E1016" s="1" t="s">
        <v>54</v>
      </c>
      <c r="F1016" s="1" t="s">
        <v>338</v>
      </c>
      <c r="G1016" s="1"/>
      <c r="H1016" s="62">
        <f aca="true" t="shared" si="92" ref="H1016:J1017">H1017</f>
        <v>26474.6</v>
      </c>
      <c r="I1016" s="62">
        <f t="shared" si="92"/>
        <v>55706.5</v>
      </c>
      <c r="J1016" s="62">
        <f t="shared" si="92"/>
        <v>55706.5</v>
      </c>
    </row>
    <row r="1017" spans="1:10" ht="18.75">
      <c r="A1017" s="26"/>
      <c r="B1017" s="95" t="s">
        <v>294</v>
      </c>
      <c r="C1017" s="11" t="s">
        <v>15</v>
      </c>
      <c r="D1017" s="11" t="s">
        <v>111</v>
      </c>
      <c r="E1017" s="1" t="s">
        <v>54</v>
      </c>
      <c r="F1017" s="1" t="s">
        <v>359</v>
      </c>
      <c r="G1017" s="1"/>
      <c r="H1017" s="62">
        <f t="shared" si="92"/>
        <v>26474.6</v>
      </c>
      <c r="I1017" s="62">
        <f t="shared" si="92"/>
        <v>55706.5</v>
      </c>
      <c r="J1017" s="62">
        <f t="shared" si="92"/>
        <v>55706.5</v>
      </c>
    </row>
    <row r="1018" spans="1:10" ht="37.5">
      <c r="A1018" s="26"/>
      <c r="B1018" s="95" t="s">
        <v>465</v>
      </c>
      <c r="C1018" s="11" t="s">
        <v>15</v>
      </c>
      <c r="D1018" s="11" t="s">
        <v>111</v>
      </c>
      <c r="E1018" s="1" t="s">
        <v>54</v>
      </c>
      <c r="F1018" s="1" t="s">
        <v>463</v>
      </c>
      <c r="G1018" s="1"/>
      <c r="H1018" s="62">
        <f aca="true" t="shared" si="93" ref="H1018:J1019">H1019</f>
        <v>26474.6</v>
      </c>
      <c r="I1018" s="62">
        <f t="shared" si="93"/>
        <v>55706.5</v>
      </c>
      <c r="J1018" s="188">
        <f t="shared" si="93"/>
        <v>55706.5</v>
      </c>
    </row>
    <row r="1019" spans="1:10" ht="37.5">
      <c r="A1019" s="26"/>
      <c r="B1019" s="108" t="s">
        <v>297</v>
      </c>
      <c r="C1019" s="11" t="s">
        <v>15</v>
      </c>
      <c r="D1019" s="11" t="s">
        <v>111</v>
      </c>
      <c r="E1019" s="1" t="s">
        <v>54</v>
      </c>
      <c r="F1019" s="1" t="s">
        <v>506</v>
      </c>
      <c r="G1019" s="1"/>
      <c r="H1019" s="61">
        <f t="shared" si="93"/>
        <v>26474.6</v>
      </c>
      <c r="I1019" s="61">
        <f t="shared" si="93"/>
        <v>55706.5</v>
      </c>
      <c r="J1019" s="251">
        <f t="shared" si="93"/>
        <v>55706.5</v>
      </c>
    </row>
    <row r="1020" spans="1:11" ht="36">
      <c r="A1020" s="26"/>
      <c r="B1020" s="93" t="s">
        <v>204</v>
      </c>
      <c r="C1020" s="9" t="s">
        <v>15</v>
      </c>
      <c r="D1020" s="9" t="s">
        <v>111</v>
      </c>
      <c r="E1020" s="9" t="s">
        <v>54</v>
      </c>
      <c r="F1020" s="9" t="s">
        <v>506</v>
      </c>
      <c r="G1020" s="9" t="s">
        <v>196</v>
      </c>
      <c r="H1020" s="70">
        <f>26915.8+555.3-996.5</f>
        <v>26474.6</v>
      </c>
      <c r="I1020" s="70">
        <v>55706.5</v>
      </c>
      <c r="J1020" s="13">
        <v>55706.5</v>
      </c>
      <c r="K1020" s="204"/>
    </row>
    <row r="1021" spans="1:10" ht="18.75">
      <c r="A1021" s="26"/>
      <c r="B1021" s="116" t="s">
        <v>26</v>
      </c>
      <c r="C1021" s="14" t="s">
        <v>15</v>
      </c>
      <c r="D1021" s="14" t="s">
        <v>111</v>
      </c>
      <c r="E1021" s="14" t="s">
        <v>54</v>
      </c>
      <c r="F1021" s="14" t="s">
        <v>88</v>
      </c>
      <c r="G1021" s="12"/>
      <c r="H1021" s="62">
        <f aca="true" t="shared" si="94" ref="H1021:J1024">H1022</f>
        <v>0</v>
      </c>
      <c r="I1021" s="62">
        <f t="shared" si="94"/>
        <v>0</v>
      </c>
      <c r="J1021" s="62">
        <f t="shared" si="94"/>
        <v>0</v>
      </c>
    </row>
    <row r="1022" spans="1:10" ht="18.75">
      <c r="A1022" s="26"/>
      <c r="B1022" s="116" t="s">
        <v>35</v>
      </c>
      <c r="C1022" s="14" t="s">
        <v>15</v>
      </c>
      <c r="D1022" s="14" t="s">
        <v>111</v>
      </c>
      <c r="E1022" s="14" t="s">
        <v>54</v>
      </c>
      <c r="F1022" s="222" t="s">
        <v>89</v>
      </c>
      <c r="G1022" s="12"/>
      <c r="H1022" s="62">
        <f t="shared" si="94"/>
        <v>0</v>
      </c>
      <c r="I1022" s="62">
        <f t="shared" si="94"/>
        <v>0</v>
      </c>
      <c r="J1022" s="62">
        <f t="shared" si="94"/>
        <v>0</v>
      </c>
    </row>
    <row r="1023" spans="1:10" ht="18.75">
      <c r="A1023" s="26"/>
      <c r="B1023" s="116" t="s">
        <v>35</v>
      </c>
      <c r="C1023" s="14" t="s">
        <v>15</v>
      </c>
      <c r="D1023" s="14" t="s">
        <v>111</v>
      </c>
      <c r="E1023" s="14" t="s">
        <v>54</v>
      </c>
      <c r="F1023" s="222" t="s">
        <v>90</v>
      </c>
      <c r="G1023" s="12"/>
      <c r="H1023" s="62">
        <f t="shared" si="94"/>
        <v>0</v>
      </c>
      <c r="I1023" s="62">
        <f t="shared" si="94"/>
        <v>0</v>
      </c>
      <c r="J1023" s="62">
        <f t="shared" si="94"/>
        <v>0</v>
      </c>
    </row>
    <row r="1024" spans="1:10" ht="37.5">
      <c r="A1024" s="26"/>
      <c r="B1024" s="95" t="s">
        <v>297</v>
      </c>
      <c r="C1024" s="48" t="s">
        <v>15</v>
      </c>
      <c r="D1024" s="48" t="s">
        <v>111</v>
      </c>
      <c r="E1024" s="48" t="s">
        <v>54</v>
      </c>
      <c r="F1024" s="48" t="s">
        <v>413</v>
      </c>
      <c r="G1024" s="12"/>
      <c r="H1024" s="62">
        <f t="shared" si="94"/>
        <v>0</v>
      </c>
      <c r="I1024" s="62">
        <f t="shared" si="94"/>
        <v>0</v>
      </c>
      <c r="J1024" s="62">
        <f t="shared" si="94"/>
        <v>0</v>
      </c>
    </row>
    <row r="1025" spans="1:10" ht="36">
      <c r="A1025" s="26"/>
      <c r="B1025" s="106" t="s">
        <v>204</v>
      </c>
      <c r="C1025" s="56" t="s">
        <v>15</v>
      </c>
      <c r="D1025" s="56" t="s">
        <v>111</v>
      </c>
      <c r="E1025" s="56" t="s">
        <v>54</v>
      </c>
      <c r="F1025" s="56" t="s">
        <v>413</v>
      </c>
      <c r="G1025" s="12" t="s">
        <v>196</v>
      </c>
      <c r="H1025" s="167">
        <v>0</v>
      </c>
      <c r="I1025" s="167">
        <v>0</v>
      </c>
      <c r="J1025" s="271">
        <v>0</v>
      </c>
    </row>
    <row r="1026" spans="1:10" ht="18.75">
      <c r="A1026" s="26"/>
      <c r="B1026" s="96" t="s">
        <v>275</v>
      </c>
      <c r="C1026" s="11" t="s">
        <v>15</v>
      </c>
      <c r="D1026" s="11" t="s">
        <v>111</v>
      </c>
      <c r="E1026" s="1" t="s">
        <v>53</v>
      </c>
      <c r="F1026" s="1"/>
      <c r="G1026" s="1"/>
      <c r="H1026" s="62">
        <f aca="true" t="shared" si="95" ref="H1026:J1027">H1027</f>
        <v>37237.700000000004</v>
      </c>
      <c r="I1026" s="62">
        <f t="shared" si="95"/>
        <v>4924.900000000001</v>
      </c>
      <c r="J1026" s="188">
        <f t="shared" si="95"/>
        <v>4924.900000000001</v>
      </c>
    </row>
    <row r="1027" spans="1:10" ht="37.5">
      <c r="A1027" s="26"/>
      <c r="B1027" s="96" t="s">
        <v>160</v>
      </c>
      <c r="C1027" s="11" t="s">
        <v>15</v>
      </c>
      <c r="D1027" s="11" t="s">
        <v>111</v>
      </c>
      <c r="E1027" s="1" t="s">
        <v>53</v>
      </c>
      <c r="F1027" s="1" t="s">
        <v>338</v>
      </c>
      <c r="G1027" s="1"/>
      <c r="H1027" s="62">
        <f t="shared" si="95"/>
        <v>37237.700000000004</v>
      </c>
      <c r="I1027" s="62">
        <f t="shared" si="95"/>
        <v>4924.900000000001</v>
      </c>
      <c r="J1027" s="188">
        <f>J1028</f>
        <v>4924.900000000001</v>
      </c>
    </row>
    <row r="1028" spans="1:10" ht="18.75">
      <c r="A1028" s="26"/>
      <c r="B1028" s="95" t="s">
        <v>294</v>
      </c>
      <c r="C1028" s="11" t="s">
        <v>15</v>
      </c>
      <c r="D1028" s="11" t="s">
        <v>111</v>
      </c>
      <c r="E1028" s="1" t="s">
        <v>53</v>
      </c>
      <c r="F1028" s="1" t="s">
        <v>359</v>
      </c>
      <c r="G1028" s="1"/>
      <c r="H1028" s="62">
        <f>H1029+H1032+H1035+H1044</f>
        <v>37237.700000000004</v>
      </c>
      <c r="I1028" s="62">
        <f>I1029+I1032+I1035+I1044</f>
        <v>4924.900000000001</v>
      </c>
      <c r="J1028" s="62">
        <f>J1029+J1032+J1035+J1044</f>
        <v>4924.900000000001</v>
      </c>
    </row>
    <row r="1029" spans="1:10" ht="37.5">
      <c r="A1029" s="26"/>
      <c r="B1029" s="95" t="s">
        <v>465</v>
      </c>
      <c r="C1029" s="11" t="s">
        <v>15</v>
      </c>
      <c r="D1029" s="11" t="s">
        <v>111</v>
      </c>
      <c r="E1029" s="1" t="s">
        <v>53</v>
      </c>
      <c r="F1029" s="1" t="s">
        <v>463</v>
      </c>
      <c r="G1029" s="1"/>
      <c r="H1029" s="62">
        <f aca="true" t="shared" si="96" ref="H1029:J1030">H1030</f>
        <v>30134.500000000004</v>
      </c>
      <c r="I1029" s="62">
        <f t="shared" si="96"/>
        <v>0</v>
      </c>
      <c r="J1029" s="188">
        <f t="shared" si="96"/>
        <v>0</v>
      </c>
    </row>
    <row r="1030" spans="1:10" ht="37.5">
      <c r="A1030" s="26"/>
      <c r="B1030" s="108" t="s">
        <v>297</v>
      </c>
      <c r="C1030" s="11" t="s">
        <v>15</v>
      </c>
      <c r="D1030" s="11" t="s">
        <v>111</v>
      </c>
      <c r="E1030" s="1" t="s">
        <v>53</v>
      </c>
      <c r="F1030" s="1" t="s">
        <v>506</v>
      </c>
      <c r="G1030" s="1"/>
      <c r="H1030" s="61">
        <f t="shared" si="96"/>
        <v>30134.500000000004</v>
      </c>
      <c r="I1030" s="61">
        <f t="shared" si="96"/>
        <v>0</v>
      </c>
      <c r="J1030" s="251">
        <f t="shared" si="96"/>
        <v>0</v>
      </c>
    </row>
    <row r="1031" spans="1:10" ht="36">
      <c r="A1031" s="26"/>
      <c r="B1031" s="93" t="s">
        <v>204</v>
      </c>
      <c r="C1031" s="9" t="s">
        <v>15</v>
      </c>
      <c r="D1031" s="9" t="s">
        <v>111</v>
      </c>
      <c r="E1031" s="9" t="s">
        <v>53</v>
      </c>
      <c r="F1031" s="9" t="s">
        <v>506</v>
      </c>
      <c r="G1031" s="9" t="s">
        <v>196</v>
      </c>
      <c r="H1031" s="70">
        <f>55706.5+347.3-26915.8+996.5</f>
        <v>30134.500000000004</v>
      </c>
      <c r="I1031" s="70">
        <f>55706.5-55706.5</f>
        <v>0</v>
      </c>
      <c r="J1031" s="13">
        <f>55706.5-55706.5</f>
        <v>0</v>
      </c>
    </row>
    <row r="1032" spans="1:10" ht="37.5">
      <c r="A1032" s="26"/>
      <c r="B1032" s="95" t="s">
        <v>478</v>
      </c>
      <c r="C1032" s="11" t="s">
        <v>15</v>
      </c>
      <c r="D1032" s="11" t="s">
        <v>111</v>
      </c>
      <c r="E1032" s="1" t="s">
        <v>53</v>
      </c>
      <c r="F1032" s="1" t="s">
        <v>477</v>
      </c>
      <c r="G1032" s="1"/>
      <c r="H1032" s="62">
        <f>H1033</f>
        <v>128.7</v>
      </c>
      <c r="I1032" s="62">
        <f>I1033</f>
        <v>128.7</v>
      </c>
      <c r="J1032" s="188">
        <f>J1033</f>
        <v>128.7</v>
      </c>
    </row>
    <row r="1033" spans="1:10" ht="37.5">
      <c r="A1033" s="26"/>
      <c r="B1033" s="108" t="s">
        <v>131</v>
      </c>
      <c r="C1033" s="11" t="s">
        <v>15</v>
      </c>
      <c r="D1033" s="11" t="s">
        <v>111</v>
      </c>
      <c r="E1033" s="1" t="s">
        <v>53</v>
      </c>
      <c r="F1033" s="1" t="s">
        <v>476</v>
      </c>
      <c r="G1033" s="1"/>
      <c r="H1033" s="62">
        <f>SUM(H1034:H1034)</f>
        <v>128.7</v>
      </c>
      <c r="I1033" s="62">
        <f>SUM(I1034:I1034)</f>
        <v>128.7</v>
      </c>
      <c r="J1033" s="188">
        <f>SUM(J1034:J1034)</f>
        <v>128.7</v>
      </c>
    </row>
    <row r="1034" spans="1:12" ht="36">
      <c r="A1034" s="26"/>
      <c r="B1034" s="93" t="s">
        <v>204</v>
      </c>
      <c r="C1034" s="9" t="s">
        <v>15</v>
      </c>
      <c r="D1034" s="9" t="s">
        <v>111</v>
      </c>
      <c r="E1034" s="9" t="s">
        <v>53</v>
      </c>
      <c r="F1034" s="9" t="s">
        <v>476</v>
      </c>
      <c r="G1034" s="9" t="s">
        <v>196</v>
      </c>
      <c r="H1034" s="74">
        <v>128.7</v>
      </c>
      <c r="I1034" s="74">
        <v>128.7</v>
      </c>
      <c r="J1034" s="197">
        <v>128.7</v>
      </c>
      <c r="L1034" s="204"/>
    </row>
    <row r="1035" spans="1:10" ht="37.5">
      <c r="A1035" s="26"/>
      <c r="B1035" s="108" t="s">
        <v>481</v>
      </c>
      <c r="C1035" s="11" t="s">
        <v>15</v>
      </c>
      <c r="D1035" s="11" t="s">
        <v>111</v>
      </c>
      <c r="E1035" s="1" t="s">
        <v>53</v>
      </c>
      <c r="F1035" s="1" t="s">
        <v>479</v>
      </c>
      <c r="G1035" s="1"/>
      <c r="H1035" s="62">
        <f>H1036+H1038+H1040+H1042</f>
        <v>4751.9</v>
      </c>
      <c r="I1035" s="62">
        <f>I1036+I1038+I1040+I1042</f>
        <v>4796.200000000001</v>
      </c>
      <c r="J1035" s="188">
        <f>J1036+J1038+J1040+J1042</f>
        <v>4796.200000000001</v>
      </c>
    </row>
    <row r="1036" spans="1:10" ht="37.5">
      <c r="A1036" s="26"/>
      <c r="B1036" s="108" t="s">
        <v>230</v>
      </c>
      <c r="C1036" s="11" t="s">
        <v>15</v>
      </c>
      <c r="D1036" s="11" t="s">
        <v>111</v>
      </c>
      <c r="E1036" s="1" t="s">
        <v>53</v>
      </c>
      <c r="F1036" s="1" t="s">
        <v>513</v>
      </c>
      <c r="G1036" s="1"/>
      <c r="H1036" s="62">
        <f>H1037</f>
        <v>1080</v>
      </c>
      <c r="I1036" s="62">
        <f>I1037</f>
        <v>1080</v>
      </c>
      <c r="J1036" s="188">
        <f>J1037</f>
        <v>1080</v>
      </c>
    </row>
    <row r="1037" spans="1:10" ht="36">
      <c r="A1037" s="26"/>
      <c r="B1037" s="93" t="s">
        <v>204</v>
      </c>
      <c r="C1037" s="9" t="s">
        <v>15</v>
      </c>
      <c r="D1037" s="9" t="s">
        <v>111</v>
      </c>
      <c r="E1037" s="9" t="s">
        <v>53</v>
      </c>
      <c r="F1037" s="9" t="s">
        <v>513</v>
      </c>
      <c r="G1037" s="9" t="s">
        <v>196</v>
      </c>
      <c r="H1037" s="70">
        <v>1080</v>
      </c>
      <c r="I1037" s="70">
        <v>1080</v>
      </c>
      <c r="J1037" s="13">
        <v>1080</v>
      </c>
    </row>
    <row r="1038" spans="1:10" ht="37.5">
      <c r="A1038" s="26"/>
      <c r="B1038" s="108" t="s">
        <v>132</v>
      </c>
      <c r="C1038" s="11" t="s">
        <v>15</v>
      </c>
      <c r="D1038" s="11" t="s">
        <v>111</v>
      </c>
      <c r="E1038" s="1" t="s">
        <v>53</v>
      </c>
      <c r="F1038" s="1" t="s">
        <v>480</v>
      </c>
      <c r="G1038" s="1"/>
      <c r="H1038" s="62">
        <f>SUM(H1039:H1039)</f>
        <v>265.3</v>
      </c>
      <c r="I1038" s="62">
        <f>SUM(I1039:I1039)</f>
        <v>265.3</v>
      </c>
      <c r="J1038" s="188">
        <f>SUM(J1039:J1039)</f>
        <v>265.3</v>
      </c>
    </row>
    <row r="1039" spans="1:10" ht="36">
      <c r="A1039" s="26"/>
      <c r="B1039" s="93" t="s">
        <v>204</v>
      </c>
      <c r="C1039" s="9" t="s">
        <v>15</v>
      </c>
      <c r="D1039" s="9" t="s">
        <v>111</v>
      </c>
      <c r="E1039" s="9" t="s">
        <v>53</v>
      </c>
      <c r="F1039" s="9" t="s">
        <v>480</v>
      </c>
      <c r="G1039" s="9" t="s">
        <v>196</v>
      </c>
      <c r="H1039" s="70">
        <v>265.3</v>
      </c>
      <c r="I1039" s="70">
        <v>265.3</v>
      </c>
      <c r="J1039" s="13">
        <v>265.3</v>
      </c>
    </row>
    <row r="1040" spans="1:10" ht="37.5">
      <c r="A1040" s="26"/>
      <c r="B1040" s="108" t="s">
        <v>135</v>
      </c>
      <c r="C1040" s="11" t="s">
        <v>15</v>
      </c>
      <c r="D1040" s="11" t="s">
        <v>111</v>
      </c>
      <c r="E1040" s="1" t="s">
        <v>53</v>
      </c>
      <c r="F1040" s="1" t="s">
        <v>482</v>
      </c>
      <c r="G1040" s="1"/>
      <c r="H1040" s="62">
        <f>SUM(H1041:H1041)</f>
        <v>298.8</v>
      </c>
      <c r="I1040" s="62">
        <f>SUM(I1041:I1041)</f>
        <v>298.8</v>
      </c>
      <c r="J1040" s="188">
        <f>SUM(J1041:J1041)</f>
        <v>298.8</v>
      </c>
    </row>
    <row r="1041" spans="1:10" ht="36">
      <c r="A1041" s="26"/>
      <c r="B1041" s="93" t="s">
        <v>204</v>
      </c>
      <c r="C1041" s="9" t="s">
        <v>15</v>
      </c>
      <c r="D1041" s="9" t="s">
        <v>111</v>
      </c>
      <c r="E1041" s="9" t="s">
        <v>53</v>
      </c>
      <c r="F1041" s="9" t="s">
        <v>482</v>
      </c>
      <c r="G1041" s="9" t="s">
        <v>196</v>
      </c>
      <c r="H1041" s="70">
        <v>298.8</v>
      </c>
      <c r="I1041" s="70">
        <v>298.8</v>
      </c>
      <c r="J1041" s="13">
        <v>298.8</v>
      </c>
    </row>
    <row r="1042" spans="1:10" ht="56.25">
      <c r="A1042" s="26"/>
      <c r="B1042" s="108" t="s">
        <v>556</v>
      </c>
      <c r="C1042" s="11" t="s">
        <v>15</v>
      </c>
      <c r="D1042" s="11" t="s">
        <v>111</v>
      </c>
      <c r="E1042" s="1" t="s">
        <v>53</v>
      </c>
      <c r="F1042" s="1" t="s">
        <v>483</v>
      </c>
      <c r="G1042" s="1"/>
      <c r="H1042" s="62">
        <f>SUM(H1043:H1043)</f>
        <v>3107.8</v>
      </c>
      <c r="I1042" s="62">
        <f>SUM(I1043:I1043)</f>
        <v>3152.1000000000004</v>
      </c>
      <c r="J1042" s="188">
        <f>SUM(J1043:J1043)</f>
        <v>3152.1000000000004</v>
      </c>
    </row>
    <row r="1043" spans="1:10" ht="36">
      <c r="A1043" s="26"/>
      <c r="B1043" s="93" t="s">
        <v>204</v>
      </c>
      <c r="C1043" s="9" t="s">
        <v>15</v>
      </c>
      <c r="D1043" s="9" t="s">
        <v>111</v>
      </c>
      <c r="E1043" s="9" t="s">
        <v>53</v>
      </c>
      <c r="F1043" s="9" t="s">
        <v>483</v>
      </c>
      <c r="G1043" s="9" t="s">
        <v>196</v>
      </c>
      <c r="H1043" s="70">
        <v>3107.8</v>
      </c>
      <c r="I1043" s="70">
        <f>3107.8+44.3</f>
        <v>3152.1000000000004</v>
      </c>
      <c r="J1043" s="13">
        <f>3107.8+44.3</f>
        <v>3152.1000000000004</v>
      </c>
    </row>
    <row r="1044" spans="1:10" ht="56.25">
      <c r="A1044" s="26"/>
      <c r="B1044" s="96" t="s">
        <v>485</v>
      </c>
      <c r="C1044" s="22" t="s">
        <v>15</v>
      </c>
      <c r="D1044" s="22" t="s">
        <v>111</v>
      </c>
      <c r="E1044" s="23" t="s">
        <v>53</v>
      </c>
      <c r="F1044" s="23" t="s">
        <v>484</v>
      </c>
      <c r="G1044" s="28"/>
      <c r="H1044" s="66">
        <f aca="true" t="shared" si="97" ref="H1044:J1045">H1045</f>
        <v>2222.6</v>
      </c>
      <c r="I1044" s="66">
        <f t="shared" si="97"/>
        <v>0</v>
      </c>
      <c r="J1044" s="66">
        <f t="shared" si="97"/>
        <v>0</v>
      </c>
    </row>
    <row r="1045" spans="1:10" ht="37.5">
      <c r="A1045" s="26"/>
      <c r="B1045" s="98" t="s">
        <v>514</v>
      </c>
      <c r="C1045" s="29" t="s">
        <v>15</v>
      </c>
      <c r="D1045" s="29" t="s">
        <v>111</v>
      </c>
      <c r="E1045" s="30" t="s">
        <v>53</v>
      </c>
      <c r="F1045" s="30" t="s">
        <v>515</v>
      </c>
      <c r="G1045" s="21"/>
      <c r="H1045" s="65">
        <f t="shared" si="97"/>
        <v>2222.6</v>
      </c>
      <c r="I1045" s="65">
        <f t="shared" si="97"/>
        <v>0</v>
      </c>
      <c r="J1045" s="65">
        <f t="shared" si="97"/>
        <v>0</v>
      </c>
    </row>
    <row r="1046" spans="1:10" ht="36.75" thickBot="1">
      <c r="A1046" s="26"/>
      <c r="B1046" s="151" t="s">
        <v>204</v>
      </c>
      <c r="C1046" s="7" t="s">
        <v>15</v>
      </c>
      <c r="D1046" s="7" t="s">
        <v>111</v>
      </c>
      <c r="E1046" s="7" t="s">
        <v>53</v>
      </c>
      <c r="F1046" s="7" t="s">
        <v>515</v>
      </c>
      <c r="G1046" s="7" t="s">
        <v>196</v>
      </c>
      <c r="H1046" s="294">
        <v>2222.6</v>
      </c>
      <c r="I1046" s="294">
        <v>0</v>
      </c>
      <c r="J1046" s="266">
        <v>0</v>
      </c>
    </row>
    <row r="1047" spans="1:10" ht="38.25" thickBot="1">
      <c r="A1047" s="159" t="s">
        <v>57</v>
      </c>
      <c r="B1047" s="160" t="s">
        <v>70</v>
      </c>
      <c r="C1047" s="161" t="s">
        <v>80</v>
      </c>
      <c r="D1047" s="161"/>
      <c r="E1047" s="162"/>
      <c r="F1047" s="162"/>
      <c r="G1047" s="162"/>
      <c r="H1047" s="164">
        <f>H1048+H1080+H1073</f>
        <v>17219.9</v>
      </c>
      <c r="I1047" s="164">
        <f>I1048+I1080+I1073</f>
        <v>17126.4</v>
      </c>
      <c r="J1047" s="164">
        <f>J1048+J1080+J1073</f>
        <v>17126.4</v>
      </c>
    </row>
    <row r="1048" spans="1:10" ht="18.75">
      <c r="A1048" s="26"/>
      <c r="B1048" s="113" t="s">
        <v>22</v>
      </c>
      <c r="C1048" s="43" t="s">
        <v>80</v>
      </c>
      <c r="D1048" s="43" t="s">
        <v>54</v>
      </c>
      <c r="E1048" s="27"/>
      <c r="F1048" s="27" t="s">
        <v>36</v>
      </c>
      <c r="G1048" s="27" t="s">
        <v>37</v>
      </c>
      <c r="H1048" s="67">
        <f>H1049+H1055+H1067</f>
        <v>16072.700000000003</v>
      </c>
      <c r="I1048" s="67">
        <f>I1049+I1055+I1067</f>
        <v>15979.200000000003</v>
      </c>
      <c r="J1048" s="244">
        <f>J1049+J1055+J1067</f>
        <v>15979.200000000003</v>
      </c>
    </row>
    <row r="1049" spans="1:10" ht="37.5">
      <c r="A1049" s="26"/>
      <c r="B1049" s="96" t="s">
        <v>23</v>
      </c>
      <c r="C1049" s="22" t="s">
        <v>80</v>
      </c>
      <c r="D1049" s="22" t="s">
        <v>54</v>
      </c>
      <c r="E1049" s="23" t="s">
        <v>79</v>
      </c>
      <c r="F1049" s="23" t="s">
        <v>37</v>
      </c>
      <c r="G1049" s="23" t="s">
        <v>37</v>
      </c>
      <c r="H1049" s="66">
        <f aca="true" t="shared" si="98" ref="H1049:J1052">H1050</f>
        <v>4304.7</v>
      </c>
      <c r="I1049" s="66">
        <f t="shared" si="98"/>
        <v>4304.7</v>
      </c>
      <c r="J1049" s="186">
        <f t="shared" si="98"/>
        <v>4304.7</v>
      </c>
    </row>
    <row r="1050" spans="1:10" ht="18.75">
      <c r="A1050" s="26"/>
      <c r="B1050" s="96" t="s">
        <v>73</v>
      </c>
      <c r="C1050" s="41" t="s">
        <v>80</v>
      </c>
      <c r="D1050" s="41" t="s">
        <v>54</v>
      </c>
      <c r="E1050" s="41" t="s">
        <v>79</v>
      </c>
      <c r="F1050" s="41" t="s">
        <v>95</v>
      </c>
      <c r="G1050" s="41" t="s">
        <v>37</v>
      </c>
      <c r="H1050" s="66">
        <f t="shared" si="98"/>
        <v>4304.7</v>
      </c>
      <c r="I1050" s="66">
        <f t="shared" si="98"/>
        <v>4304.7</v>
      </c>
      <c r="J1050" s="186">
        <f t="shared" si="98"/>
        <v>4304.7</v>
      </c>
    </row>
    <row r="1051" spans="1:10" ht="37.5">
      <c r="A1051" s="26"/>
      <c r="B1051" s="96" t="s">
        <v>74</v>
      </c>
      <c r="C1051" s="41" t="s">
        <v>80</v>
      </c>
      <c r="D1051" s="41" t="s">
        <v>54</v>
      </c>
      <c r="E1051" s="41" t="s">
        <v>79</v>
      </c>
      <c r="F1051" s="41" t="s">
        <v>152</v>
      </c>
      <c r="G1051" s="41"/>
      <c r="H1051" s="66">
        <f t="shared" si="98"/>
        <v>4304.7</v>
      </c>
      <c r="I1051" s="66">
        <f t="shared" si="98"/>
        <v>4304.7</v>
      </c>
      <c r="J1051" s="186">
        <f t="shared" si="98"/>
        <v>4304.7</v>
      </c>
    </row>
    <row r="1052" spans="1:10" ht="18.75">
      <c r="A1052" s="26"/>
      <c r="B1052" s="95" t="s">
        <v>35</v>
      </c>
      <c r="C1052" s="48" t="s">
        <v>80</v>
      </c>
      <c r="D1052" s="48" t="s">
        <v>54</v>
      </c>
      <c r="E1052" s="48" t="s">
        <v>79</v>
      </c>
      <c r="F1052" s="48" t="s">
        <v>153</v>
      </c>
      <c r="G1052" s="48"/>
      <c r="H1052" s="62">
        <f t="shared" si="98"/>
        <v>4304.7</v>
      </c>
      <c r="I1052" s="62">
        <f t="shared" si="98"/>
        <v>4304.7</v>
      </c>
      <c r="J1052" s="188">
        <f t="shared" si="98"/>
        <v>4304.7</v>
      </c>
    </row>
    <row r="1053" spans="1:10" ht="18.75">
      <c r="A1053" s="26"/>
      <c r="B1053" s="95" t="s">
        <v>277</v>
      </c>
      <c r="C1053" s="48" t="s">
        <v>80</v>
      </c>
      <c r="D1053" s="48" t="s">
        <v>54</v>
      </c>
      <c r="E1053" s="48" t="s">
        <v>79</v>
      </c>
      <c r="F1053" s="48" t="s">
        <v>426</v>
      </c>
      <c r="G1053" s="48"/>
      <c r="H1053" s="62">
        <f>SUM(H1054:H1054)</f>
        <v>4304.7</v>
      </c>
      <c r="I1053" s="62">
        <f>SUM(I1054:I1054)</f>
        <v>4304.7</v>
      </c>
      <c r="J1053" s="188">
        <f>SUM(J1054:J1054)</f>
        <v>4304.7</v>
      </c>
    </row>
    <row r="1054" spans="1:10" ht="54">
      <c r="A1054" s="26"/>
      <c r="B1054" s="93" t="s">
        <v>580</v>
      </c>
      <c r="C1054" s="54" t="s">
        <v>80</v>
      </c>
      <c r="D1054" s="54" t="s">
        <v>54</v>
      </c>
      <c r="E1054" s="54" t="s">
        <v>79</v>
      </c>
      <c r="F1054" s="54" t="s">
        <v>426</v>
      </c>
      <c r="G1054" s="54" t="s">
        <v>191</v>
      </c>
      <c r="H1054" s="74">
        <v>4304.7</v>
      </c>
      <c r="I1054" s="74">
        <v>4304.7</v>
      </c>
      <c r="J1054" s="197">
        <v>4304.7</v>
      </c>
    </row>
    <row r="1055" spans="1:10" ht="56.25">
      <c r="A1055" s="26"/>
      <c r="B1055" s="96" t="s">
        <v>5</v>
      </c>
      <c r="C1055" s="22" t="s">
        <v>80</v>
      </c>
      <c r="D1055" s="22" t="s">
        <v>54</v>
      </c>
      <c r="E1055" s="23" t="s">
        <v>53</v>
      </c>
      <c r="F1055" s="23"/>
      <c r="G1055" s="23"/>
      <c r="H1055" s="66">
        <f>H1056</f>
        <v>11573.900000000001</v>
      </c>
      <c r="I1055" s="66">
        <f>I1056</f>
        <v>11480.400000000001</v>
      </c>
      <c r="J1055" s="186">
        <f>J1056</f>
        <v>11480.400000000001</v>
      </c>
    </row>
    <row r="1056" spans="1:10" ht="18.75">
      <c r="A1056" s="26"/>
      <c r="B1056" s="96" t="s">
        <v>73</v>
      </c>
      <c r="C1056" s="41" t="s">
        <v>80</v>
      </c>
      <c r="D1056" s="41" t="s">
        <v>54</v>
      </c>
      <c r="E1056" s="41" t="s">
        <v>53</v>
      </c>
      <c r="F1056" s="41" t="s">
        <v>95</v>
      </c>
      <c r="G1056" s="41"/>
      <c r="H1056" s="66">
        <f>H1061+H1057</f>
        <v>11573.900000000001</v>
      </c>
      <c r="I1056" s="66">
        <f>I1061+I1057</f>
        <v>11480.400000000001</v>
      </c>
      <c r="J1056" s="186">
        <f>J1061+J1057</f>
        <v>11480.400000000001</v>
      </c>
    </row>
    <row r="1057" spans="1:10" ht="37.5">
      <c r="A1057" s="26"/>
      <c r="B1057" s="96" t="s">
        <v>234</v>
      </c>
      <c r="C1057" s="41" t="s">
        <v>80</v>
      </c>
      <c r="D1057" s="41" t="s">
        <v>54</v>
      </c>
      <c r="E1057" s="41" t="s">
        <v>53</v>
      </c>
      <c r="F1057" s="41" t="s">
        <v>235</v>
      </c>
      <c r="G1057" s="41"/>
      <c r="H1057" s="66">
        <f aca="true" t="shared" si="99" ref="H1057:J1058">H1058</f>
        <v>1730.2</v>
      </c>
      <c r="I1057" s="66">
        <f t="shared" si="99"/>
        <v>1730.2</v>
      </c>
      <c r="J1057" s="186">
        <f t="shared" si="99"/>
        <v>1730.2</v>
      </c>
    </row>
    <row r="1058" spans="1:10" ht="18.75">
      <c r="A1058" s="26"/>
      <c r="B1058" s="95" t="s">
        <v>35</v>
      </c>
      <c r="C1058" s="48" t="s">
        <v>80</v>
      </c>
      <c r="D1058" s="48" t="s">
        <v>54</v>
      </c>
      <c r="E1058" s="48" t="s">
        <v>53</v>
      </c>
      <c r="F1058" s="48" t="s">
        <v>233</v>
      </c>
      <c r="G1058" s="48"/>
      <c r="H1058" s="62">
        <f t="shared" si="99"/>
        <v>1730.2</v>
      </c>
      <c r="I1058" s="62">
        <f t="shared" si="99"/>
        <v>1730.2</v>
      </c>
      <c r="J1058" s="188">
        <f t="shared" si="99"/>
        <v>1730.2</v>
      </c>
    </row>
    <row r="1059" spans="1:10" ht="18.75">
      <c r="A1059" s="26"/>
      <c r="B1059" s="95" t="s">
        <v>277</v>
      </c>
      <c r="C1059" s="48" t="s">
        <v>80</v>
      </c>
      <c r="D1059" s="48" t="s">
        <v>54</v>
      </c>
      <c r="E1059" s="48" t="s">
        <v>53</v>
      </c>
      <c r="F1059" s="48" t="s">
        <v>427</v>
      </c>
      <c r="G1059" s="48"/>
      <c r="H1059" s="62">
        <f>SUM(H1060:H1060)</f>
        <v>1730.2</v>
      </c>
      <c r="I1059" s="62">
        <f>SUM(I1060:I1060)</f>
        <v>1730.2</v>
      </c>
      <c r="J1059" s="188">
        <f>SUM(J1060:J1060)</f>
        <v>1730.2</v>
      </c>
    </row>
    <row r="1060" spans="1:10" ht="54">
      <c r="A1060" s="26"/>
      <c r="B1060" s="93" t="s">
        <v>580</v>
      </c>
      <c r="C1060" s="54" t="s">
        <v>80</v>
      </c>
      <c r="D1060" s="54" t="s">
        <v>54</v>
      </c>
      <c r="E1060" s="54" t="s">
        <v>53</v>
      </c>
      <c r="F1060" s="54" t="s">
        <v>427</v>
      </c>
      <c r="G1060" s="54" t="s">
        <v>191</v>
      </c>
      <c r="H1060" s="74">
        <v>1730.2</v>
      </c>
      <c r="I1060" s="74">
        <v>1730.2</v>
      </c>
      <c r="J1060" s="197">
        <v>1730.2</v>
      </c>
    </row>
    <row r="1061" spans="1:10" ht="37.5">
      <c r="A1061" s="26"/>
      <c r="B1061" s="96" t="s">
        <v>75</v>
      </c>
      <c r="C1061" s="41" t="s">
        <v>80</v>
      </c>
      <c r="D1061" s="41" t="s">
        <v>54</v>
      </c>
      <c r="E1061" s="41" t="s">
        <v>53</v>
      </c>
      <c r="F1061" s="41" t="s">
        <v>154</v>
      </c>
      <c r="G1061" s="41"/>
      <c r="H1061" s="66">
        <f aca="true" t="shared" si="100" ref="H1061:J1062">H1062</f>
        <v>9843.7</v>
      </c>
      <c r="I1061" s="66">
        <f t="shared" si="100"/>
        <v>9750.2</v>
      </c>
      <c r="J1061" s="186">
        <f t="shared" si="100"/>
        <v>9750.2</v>
      </c>
    </row>
    <row r="1062" spans="1:10" ht="18.75">
      <c r="A1062" s="26"/>
      <c r="B1062" s="95" t="s">
        <v>35</v>
      </c>
      <c r="C1062" s="48" t="s">
        <v>80</v>
      </c>
      <c r="D1062" s="48" t="s">
        <v>54</v>
      </c>
      <c r="E1062" s="48" t="s">
        <v>53</v>
      </c>
      <c r="F1062" s="48" t="s">
        <v>155</v>
      </c>
      <c r="G1062" s="48"/>
      <c r="H1062" s="62">
        <f t="shared" si="100"/>
        <v>9843.7</v>
      </c>
      <c r="I1062" s="62">
        <f t="shared" si="100"/>
        <v>9750.2</v>
      </c>
      <c r="J1062" s="188">
        <f t="shared" si="100"/>
        <v>9750.2</v>
      </c>
    </row>
    <row r="1063" spans="1:10" ht="18.75">
      <c r="A1063" s="26"/>
      <c r="B1063" s="95" t="s">
        <v>277</v>
      </c>
      <c r="C1063" s="48" t="s">
        <v>80</v>
      </c>
      <c r="D1063" s="48" t="s">
        <v>54</v>
      </c>
      <c r="E1063" s="48" t="s">
        <v>53</v>
      </c>
      <c r="F1063" s="48" t="s">
        <v>428</v>
      </c>
      <c r="G1063" s="48"/>
      <c r="H1063" s="62">
        <f>H1064+H1065+H1066</f>
        <v>9843.7</v>
      </c>
      <c r="I1063" s="62">
        <f>I1064+I1065+I1066</f>
        <v>9750.2</v>
      </c>
      <c r="J1063" s="188">
        <f>J1064+J1065+J1066</f>
        <v>9750.2</v>
      </c>
    </row>
    <row r="1064" spans="1:10" ht="54">
      <c r="A1064" s="26"/>
      <c r="B1064" s="166" t="s">
        <v>201</v>
      </c>
      <c r="C1064" s="56" t="s">
        <v>80</v>
      </c>
      <c r="D1064" s="56" t="s">
        <v>54</v>
      </c>
      <c r="E1064" s="56" t="s">
        <v>53</v>
      </c>
      <c r="F1064" s="56" t="s">
        <v>428</v>
      </c>
      <c r="G1064" s="56" t="s">
        <v>191</v>
      </c>
      <c r="H1064" s="168">
        <f>7809.5+63</f>
        <v>7872.5</v>
      </c>
      <c r="I1064" s="168">
        <v>7809.5</v>
      </c>
      <c r="J1064" s="258">
        <v>7809.5</v>
      </c>
    </row>
    <row r="1065" spans="1:10" ht="36">
      <c r="A1065" s="26"/>
      <c r="B1065" s="102" t="s">
        <v>199</v>
      </c>
      <c r="C1065" s="58" t="s">
        <v>80</v>
      </c>
      <c r="D1065" s="58" t="s">
        <v>54</v>
      </c>
      <c r="E1065" s="58" t="s">
        <v>53</v>
      </c>
      <c r="F1065" s="58" t="s">
        <v>428</v>
      </c>
      <c r="G1065" s="20" t="s">
        <v>192</v>
      </c>
      <c r="H1065" s="82">
        <f>1650.7+30.5</f>
        <v>1681.2</v>
      </c>
      <c r="I1065" s="82">
        <v>1640.7</v>
      </c>
      <c r="J1065" s="259">
        <v>1640.7</v>
      </c>
    </row>
    <row r="1066" spans="1:10" ht="18">
      <c r="A1066" s="26"/>
      <c r="B1066" s="93" t="s">
        <v>200</v>
      </c>
      <c r="C1066" s="54" t="s">
        <v>80</v>
      </c>
      <c r="D1066" s="54" t="s">
        <v>54</v>
      </c>
      <c r="E1066" s="54" t="s">
        <v>53</v>
      </c>
      <c r="F1066" s="54" t="s">
        <v>428</v>
      </c>
      <c r="G1066" s="54" t="s">
        <v>194</v>
      </c>
      <c r="H1066" s="74">
        <v>290</v>
      </c>
      <c r="I1066" s="74">
        <v>300</v>
      </c>
      <c r="J1066" s="197">
        <v>300</v>
      </c>
    </row>
    <row r="1067" spans="1:10" ht="18.75">
      <c r="A1067" s="26"/>
      <c r="B1067" s="116" t="s">
        <v>21</v>
      </c>
      <c r="C1067" s="3" t="s">
        <v>80</v>
      </c>
      <c r="D1067" s="3" t="s">
        <v>54</v>
      </c>
      <c r="E1067" s="4" t="s">
        <v>100</v>
      </c>
      <c r="F1067" s="15"/>
      <c r="G1067" s="15"/>
      <c r="H1067" s="63">
        <f aca="true" t="shared" si="101" ref="H1067:J1069">H1068</f>
        <v>194.1</v>
      </c>
      <c r="I1067" s="63">
        <f t="shared" si="101"/>
        <v>194.1</v>
      </c>
      <c r="J1067" s="246">
        <f t="shared" si="101"/>
        <v>194.1</v>
      </c>
    </row>
    <row r="1068" spans="1:10" ht="18.75">
      <c r="A1068" s="26"/>
      <c r="B1068" s="97" t="s">
        <v>26</v>
      </c>
      <c r="C1068" s="3" t="s">
        <v>80</v>
      </c>
      <c r="D1068" s="3" t="s">
        <v>54</v>
      </c>
      <c r="E1068" s="4" t="s">
        <v>100</v>
      </c>
      <c r="F1068" s="4" t="s">
        <v>88</v>
      </c>
      <c r="G1068" s="15"/>
      <c r="H1068" s="63">
        <f t="shared" si="101"/>
        <v>194.1</v>
      </c>
      <c r="I1068" s="63">
        <f t="shared" si="101"/>
        <v>194.1</v>
      </c>
      <c r="J1068" s="246">
        <f t="shared" si="101"/>
        <v>194.1</v>
      </c>
    </row>
    <row r="1069" spans="1:10" ht="18.75">
      <c r="A1069" s="26"/>
      <c r="B1069" s="116" t="s">
        <v>35</v>
      </c>
      <c r="C1069" s="3" t="s">
        <v>80</v>
      </c>
      <c r="D1069" s="3" t="s">
        <v>54</v>
      </c>
      <c r="E1069" s="4" t="s">
        <v>100</v>
      </c>
      <c r="F1069" s="4" t="s">
        <v>89</v>
      </c>
      <c r="G1069" s="15"/>
      <c r="H1069" s="63">
        <f t="shared" si="101"/>
        <v>194.1</v>
      </c>
      <c r="I1069" s="63">
        <f t="shared" si="101"/>
        <v>194.1</v>
      </c>
      <c r="J1069" s="246">
        <f t="shared" si="101"/>
        <v>194.1</v>
      </c>
    </row>
    <row r="1070" spans="1:10" ht="18.75">
      <c r="A1070" s="26"/>
      <c r="B1070" s="116" t="s">
        <v>35</v>
      </c>
      <c r="C1070" s="16" t="s">
        <v>80</v>
      </c>
      <c r="D1070" s="16" t="s">
        <v>54</v>
      </c>
      <c r="E1070" s="17" t="s">
        <v>100</v>
      </c>
      <c r="F1070" s="4" t="s">
        <v>90</v>
      </c>
      <c r="G1070" s="18"/>
      <c r="H1070" s="61">
        <f>H1072</f>
        <v>194.1</v>
      </c>
      <c r="I1070" s="61">
        <f>I1072</f>
        <v>194.1</v>
      </c>
      <c r="J1070" s="251">
        <f>J1072</f>
        <v>194.1</v>
      </c>
    </row>
    <row r="1071" spans="1:10" ht="56.25">
      <c r="A1071" s="26"/>
      <c r="B1071" s="117" t="s">
        <v>159</v>
      </c>
      <c r="C1071" s="16" t="s">
        <v>80</v>
      </c>
      <c r="D1071" s="16" t="s">
        <v>54</v>
      </c>
      <c r="E1071" s="17" t="s">
        <v>100</v>
      </c>
      <c r="F1071" s="17" t="s">
        <v>158</v>
      </c>
      <c r="G1071" s="18"/>
      <c r="H1071" s="61">
        <f>H1072</f>
        <v>194.1</v>
      </c>
      <c r="I1071" s="61">
        <f>I1072</f>
        <v>194.1</v>
      </c>
      <c r="J1071" s="251">
        <f>J1072</f>
        <v>194.1</v>
      </c>
    </row>
    <row r="1072" spans="1:10" ht="18">
      <c r="A1072" s="26"/>
      <c r="B1072" s="106" t="s">
        <v>205</v>
      </c>
      <c r="C1072" s="8" t="s">
        <v>80</v>
      </c>
      <c r="D1072" s="8" t="s">
        <v>54</v>
      </c>
      <c r="E1072" s="8" t="s">
        <v>100</v>
      </c>
      <c r="F1072" s="8" t="s">
        <v>158</v>
      </c>
      <c r="G1072" s="8" t="s">
        <v>193</v>
      </c>
      <c r="H1072" s="64">
        <v>194.1</v>
      </c>
      <c r="I1072" s="64">
        <v>194.1</v>
      </c>
      <c r="J1072" s="253">
        <v>194.1</v>
      </c>
    </row>
    <row r="1073" spans="1:10" ht="18.75">
      <c r="A1073" s="26"/>
      <c r="B1073" s="96" t="s">
        <v>43</v>
      </c>
      <c r="C1073" s="22" t="s">
        <v>80</v>
      </c>
      <c r="D1073" s="22" t="s">
        <v>52</v>
      </c>
      <c r="E1073" s="23"/>
      <c r="F1073" s="28"/>
      <c r="G1073" s="28"/>
      <c r="H1073" s="66">
        <f aca="true" t="shared" si="102" ref="H1073:J1078">H1074</f>
        <v>36</v>
      </c>
      <c r="I1073" s="66">
        <f t="shared" si="102"/>
        <v>36</v>
      </c>
      <c r="J1073" s="186">
        <f t="shared" si="102"/>
        <v>36</v>
      </c>
    </row>
    <row r="1074" spans="1:10" ht="37.5">
      <c r="A1074" s="26"/>
      <c r="B1074" s="116" t="s">
        <v>156</v>
      </c>
      <c r="C1074" s="3" t="s">
        <v>80</v>
      </c>
      <c r="D1074" s="3" t="s">
        <v>52</v>
      </c>
      <c r="E1074" s="4" t="s">
        <v>56</v>
      </c>
      <c r="F1074" s="15" t="s">
        <v>78</v>
      </c>
      <c r="G1074" s="15"/>
      <c r="H1074" s="63">
        <f t="shared" si="102"/>
        <v>36</v>
      </c>
      <c r="I1074" s="63">
        <f t="shared" si="102"/>
        <v>36</v>
      </c>
      <c r="J1074" s="246">
        <f t="shared" si="102"/>
        <v>36</v>
      </c>
    </row>
    <row r="1075" spans="1:10" ht="18.75">
      <c r="A1075" s="26"/>
      <c r="B1075" s="97" t="s">
        <v>26</v>
      </c>
      <c r="C1075" s="3" t="s">
        <v>80</v>
      </c>
      <c r="D1075" s="3" t="s">
        <v>52</v>
      </c>
      <c r="E1075" s="4" t="s">
        <v>56</v>
      </c>
      <c r="F1075" s="4" t="s">
        <v>88</v>
      </c>
      <c r="G1075" s="15"/>
      <c r="H1075" s="63">
        <f t="shared" si="102"/>
        <v>36</v>
      </c>
      <c r="I1075" s="63">
        <f t="shared" si="102"/>
        <v>36</v>
      </c>
      <c r="J1075" s="246">
        <f t="shared" si="102"/>
        <v>36</v>
      </c>
    </row>
    <row r="1076" spans="1:10" ht="18.75">
      <c r="A1076" s="26"/>
      <c r="B1076" s="116" t="s">
        <v>35</v>
      </c>
      <c r="C1076" s="3" t="s">
        <v>80</v>
      </c>
      <c r="D1076" s="3" t="s">
        <v>52</v>
      </c>
      <c r="E1076" s="4" t="s">
        <v>56</v>
      </c>
      <c r="F1076" s="4" t="s">
        <v>89</v>
      </c>
      <c r="G1076" s="15"/>
      <c r="H1076" s="63">
        <f t="shared" si="102"/>
        <v>36</v>
      </c>
      <c r="I1076" s="63">
        <f t="shared" si="102"/>
        <v>36</v>
      </c>
      <c r="J1076" s="246">
        <f t="shared" si="102"/>
        <v>36</v>
      </c>
    </row>
    <row r="1077" spans="1:10" ht="18.75">
      <c r="A1077" s="26"/>
      <c r="B1077" s="116" t="s">
        <v>35</v>
      </c>
      <c r="C1077" s="16" t="s">
        <v>80</v>
      </c>
      <c r="D1077" s="16" t="s">
        <v>52</v>
      </c>
      <c r="E1077" s="17" t="s">
        <v>56</v>
      </c>
      <c r="F1077" s="4" t="s">
        <v>90</v>
      </c>
      <c r="G1077" s="18"/>
      <c r="H1077" s="61">
        <f t="shared" si="102"/>
        <v>36</v>
      </c>
      <c r="I1077" s="61">
        <f t="shared" si="102"/>
        <v>36</v>
      </c>
      <c r="J1077" s="251">
        <f t="shared" si="102"/>
        <v>36</v>
      </c>
    </row>
    <row r="1078" spans="1:10" ht="56.25">
      <c r="A1078" s="26"/>
      <c r="B1078" s="117" t="s">
        <v>267</v>
      </c>
      <c r="C1078" s="16" t="s">
        <v>80</v>
      </c>
      <c r="D1078" s="16" t="s">
        <v>52</v>
      </c>
      <c r="E1078" s="17" t="s">
        <v>56</v>
      </c>
      <c r="F1078" s="17" t="s">
        <v>255</v>
      </c>
      <c r="G1078" s="18"/>
      <c r="H1078" s="61">
        <f t="shared" si="102"/>
        <v>36</v>
      </c>
      <c r="I1078" s="61">
        <f t="shared" si="102"/>
        <v>36</v>
      </c>
      <c r="J1078" s="251">
        <f t="shared" si="102"/>
        <v>36</v>
      </c>
    </row>
    <row r="1079" spans="1:10" ht="36">
      <c r="A1079" s="26"/>
      <c r="B1079" s="106" t="s">
        <v>199</v>
      </c>
      <c r="C1079" s="8" t="s">
        <v>80</v>
      </c>
      <c r="D1079" s="8" t="s">
        <v>52</v>
      </c>
      <c r="E1079" s="8" t="s">
        <v>56</v>
      </c>
      <c r="F1079" s="8" t="s">
        <v>255</v>
      </c>
      <c r="G1079" s="8" t="s">
        <v>192</v>
      </c>
      <c r="H1079" s="64">
        <f>72-36</f>
        <v>36</v>
      </c>
      <c r="I1079" s="64">
        <f>72-36</f>
        <v>36</v>
      </c>
      <c r="J1079" s="253">
        <f>72-36</f>
        <v>36</v>
      </c>
    </row>
    <row r="1080" spans="1:10" ht="18.75">
      <c r="A1080" s="26"/>
      <c r="B1080" s="96" t="s">
        <v>46</v>
      </c>
      <c r="C1080" s="22" t="s">
        <v>80</v>
      </c>
      <c r="D1080" s="22" t="s">
        <v>28</v>
      </c>
      <c r="E1080" s="23"/>
      <c r="F1080" s="28"/>
      <c r="G1080" s="28"/>
      <c r="H1080" s="66">
        <f aca="true" t="shared" si="103" ref="H1080:J1085">H1081</f>
        <v>1111.2</v>
      </c>
      <c r="I1080" s="66">
        <f t="shared" si="103"/>
        <v>1111.2</v>
      </c>
      <c r="J1080" s="186">
        <f t="shared" si="103"/>
        <v>1111.2</v>
      </c>
    </row>
    <row r="1081" spans="1:10" ht="18.75">
      <c r="A1081" s="26"/>
      <c r="B1081" s="116" t="s">
        <v>20</v>
      </c>
      <c r="C1081" s="3" t="s">
        <v>80</v>
      </c>
      <c r="D1081" s="3" t="s">
        <v>28</v>
      </c>
      <c r="E1081" s="4" t="s">
        <v>54</v>
      </c>
      <c r="F1081" s="15"/>
      <c r="G1081" s="15"/>
      <c r="H1081" s="63">
        <f t="shared" si="103"/>
        <v>1111.2</v>
      </c>
      <c r="I1081" s="63">
        <f t="shared" si="103"/>
        <v>1111.2</v>
      </c>
      <c r="J1081" s="246">
        <f t="shared" si="103"/>
        <v>1111.2</v>
      </c>
    </row>
    <row r="1082" spans="1:10" ht="18.75">
      <c r="A1082" s="26"/>
      <c r="B1082" s="97" t="s">
        <v>26</v>
      </c>
      <c r="C1082" s="3" t="s">
        <v>80</v>
      </c>
      <c r="D1082" s="3" t="s">
        <v>28</v>
      </c>
      <c r="E1082" s="4" t="s">
        <v>54</v>
      </c>
      <c r="F1082" s="4" t="s">
        <v>88</v>
      </c>
      <c r="G1082" s="15"/>
      <c r="H1082" s="63">
        <f t="shared" si="103"/>
        <v>1111.2</v>
      </c>
      <c r="I1082" s="63">
        <f t="shared" si="103"/>
        <v>1111.2</v>
      </c>
      <c r="J1082" s="246">
        <f t="shared" si="103"/>
        <v>1111.2</v>
      </c>
    </row>
    <row r="1083" spans="1:10" ht="18.75">
      <c r="A1083" s="26"/>
      <c r="B1083" s="116" t="s">
        <v>35</v>
      </c>
      <c r="C1083" s="3" t="s">
        <v>80</v>
      </c>
      <c r="D1083" s="3" t="s">
        <v>28</v>
      </c>
      <c r="E1083" s="4" t="s">
        <v>54</v>
      </c>
      <c r="F1083" s="4" t="s">
        <v>89</v>
      </c>
      <c r="G1083" s="15"/>
      <c r="H1083" s="63">
        <f t="shared" si="103"/>
        <v>1111.2</v>
      </c>
      <c r="I1083" s="63">
        <f t="shared" si="103"/>
        <v>1111.2</v>
      </c>
      <c r="J1083" s="246">
        <f t="shared" si="103"/>
        <v>1111.2</v>
      </c>
    </row>
    <row r="1084" spans="1:10" ht="18.75">
      <c r="A1084" s="26"/>
      <c r="B1084" s="116" t="s">
        <v>35</v>
      </c>
      <c r="C1084" s="16" t="s">
        <v>80</v>
      </c>
      <c r="D1084" s="16" t="s">
        <v>28</v>
      </c>
      <c r="E1084" s="17" t="s">
        <v>54</v>
      </c>
      <c r="F1084" s="4" t="s">
        <v>90</v>
      </c>
      <c r="G1084" s="18"/>
      <c r="H1084" s="61">
        <f t="shared" si="103"/>
        <v>1111.2</v>
      </c>
      <c r="I1084" s="61">
        <f t="shared" si="103"/>
        <v>1111.2</v>
      </c>
      <c r="J1084" s="251">
        <f t="shared" si="103"/>
        <v>1111.2</v>
      </c>
    </row>
    <row r="1085" spans="1:10" ht="18.75">
      <c r="A1085" s="26"/>
      <c r="B1085" s="117" t="s">
        <v>189</v>
      </c>
      <c r="C1085" s="16" t="s">
        <v>80</v>
      </c>
      <c r="D1085" s="16" t="s">
        <v>28</v>
      </c>
      <c r="E1085" s="17" t="s">
        <v>54</v>
      </c>
      <c r="F1085" s="17" t="s">
        <v>179</v>
      </c>
      <c r="G1085" s="18"/>
      <c r="H1085" s="61">
        <f t="shared" si="103"/>
        <v>1111.2</v>
      </c>
      <c r="I1085" s="61">
        <f t="shared" si="103"/>
        <v>1111.2</v>
      </c>
      <c r="J1085" s="251">
        <f t="shared" si="103"/>
        <v>1111.2</v>
      </c>
    </row>
    <row r="1086" spans="1:10" ht="18.75" thickBot="1">
      <c r="A1086" s="26"/>
      <c r="B1086" s="152" t="s">
        <v>205</v>
      </c>
      <c r="C1086" s="105" t="s">
        <v>80</v>
      </c>
      <c r="D1086" s="105" t="s">
        <v>28</v>
      </c>
      <c r="E1086" s="105" t="s">
        <v>54</v>
      </c>
      <c r="F1086" s="105" t="s">
        <v>179</v>
      </c>
      <c r="G1086" s="105" t="s">
        <v>193</v>
      </c>
      <c r="H1086" s="180">
        <f>1062.3+48.9</f>
        <v>1111.2</v>
      </c>
      <c r="I1086" s="180">
        <f>1062.3+48.9</f>
        <v>1111.2</v>
      </c>
      <c r="J1086" s="279">
        <f>1062.3+48.9</f>
        <v>1111.2</v>
      </c>
    </row>
    <row r="1087" spans="1:10" ht="38.25" thickBot="1">
      <c r="A1087" s="159" t="s">
        <v>52</v>
      </c>
      <c r="B1087" s="160" t="s">
        <v>595</v>
      </c>
      <c r="C1087" s="161" t="s">
        <v>596</v>
      </c>
      <c r="D1087" s="161"/>
      <c r="E1087" s="162"/>
      <c r="F1087" s="162"/>
      <c r="G1087" s="162"/>
      <c r="H1087" s="163">
        <f>H1088</f>
        <v>15716.1</v>
      </c>
      <c r="I1087" s="163">
        <f>I1088</f>
        <v>15716.1</v>
      </c>
      <c r="J1087" s="164">
        <f>J1088</f>
        <v>15716.1</v>
      </c>
    </row>
    <row r="1088" spans="1:10" ht="18.75">
      <c r="A1088" s="26"/>
      <c r="B1088" s="113" t="s">
        <v>22</v>
      </c>
      <c r="C1088" s="43" t="s">
        <v>596</v>
      </c>
      <c r="D1088" s="43" t="s">
        <v>54</v>
      </c>
      <c r="E1088" s="27"/>
      <c r="F1088" s="27" t="s">
        <v>36</v>
      </c>
      <c r="G1088" s="27" t="s">
        <v>37</v>
      </c>
      <c r="H1088" s="67">
        <f aca="true" t="shared" si="104" ref="H1088:J1089">H1089</f>
        <v>15716.1</v>
      </c>
      <c r="I1088" s="67">
        <f t="shared" si="104"/>
        <v>15716.1</v>
      </c>
      <c r="J1088" s="244">
        <f t="shared" si="104"/>
        <v>15716.1</v>
      </c>
    </row>
    <row r="1089" spans="1:10" ht="37.5">
      <c r="A1089" s="26"/>
      <c r="B1089" s="145" t="s">
        <v>3</v>
      </c>
      <c r="C1089" s="22" t="s">
        <v>596</v>
      </c>
      <c r="D1089" s="22" t="s">
        <v>54</v>
      </c>
      <c r="E1089" s="23" t="s">
        <v>57</v>
      </c>
      <c r="F1089" s="23"/>
      <c r="G1089" s="23"/>
      <c r="H1089" s="66">
        <f t="shared" si="104"/>
        <v>15716.1</v>
      </c>
      <c r="I1089" s="66">
        <f t="shared" si="104"/>
        <v>15716.1</v>
      </c>
      <c r="J1089" s="186">
        <f t="shared" si="104"/>
        <v>15716.1</v>
      </c>
    </row>
    <row r="1090" spans="1:10" ht="18.75">
      <c r="A1090" s="26"/>
      <c r="B1090" s="96" t="s">
        <v>73</v>
      </c>
      <c r="C1090" s="41" t="s">
        <v>596</v>
      </c>
      <c r="D1090" s="41" t="s">
        <v>54</v>
      </c>
      <c r="E1090" s="41" t="s">
        <v>57</v>
      </c>
      <c r="F1090" s="41" t="s">
        <v>95</v>
      </c>
      <c r="G1090" s="41"/>
      <c r="H1090" s="66">
        <f>H1091+H1096+H1100</f>
        <v>15716.1</v>
      </c>
      <c r="I1090" s="66">
        <f>I1091+I1096</f>
        <v>15716.1</v>
      </c>
      <c r="J1090" s="186">
        <f>J1091+J1096</f>
        <v>15716.1</v>
      </c>
    </row>
    <row r="1091" spans="1:10" ht="37.5">
      <c r="A1091" s="26"/>
      <c r="B1091" s="96" t="s">
        <v>31</v>
      </c>
      <c r="C1091" s="41" t="s">
        <v>596</v>
      </c>
      <c r="D1091" s="41" t="s">
        <v>54</v>
      </c>
      <c r="E1091" s="41" t="s">
        <v>57</v>
      </c>
      <c r="F1091" s="41" t="s">
        <v>97</v>
      </c>
      <c r="G1091" s="41"/>
      <c r="H1091" s="66">
        <f aca="true" t="shared" si="105" ref="H1091:J1092">H1092</f>
        <v>10419.1</v>
      </c>
      <c r="I1091" s="66">
        <f t="shared" si="105"/>
        <v>11774.6</v>
      </c>
      <c r="J1091" s="186">
        <f t="shared" si="105"/>
        <v>11774.6</v>
      </c>
    </row>
    <row r="1092" spans="1:10" ht="18.75">
      <c r="A1092" s="26"/>
      <c r="B1092" s="95" t="s">
        <v>35</v>
      </c>
      <c r="C1092" s="48" t="s">
        <v>596</v>
      </c>
      <c r="D1092" s="48" t="s">
        <v>54</v>
      </c>
      <c r="E1092" s="48" t="s">
        <v>57</v>
      </c>
      <c r="F1092" s="48" t="s">
        <v>96</v>
      </c>
      <c r="G1092" s="48"/>
      <c r="H1092" s="62">
        <f t="shared" si="105"/>
        <v>10419.1</v>
      </c>
      <c r="I1092" s="62">
        <f t="shared" si="105"/>
        <v>11774.6</v>
      </c>
      <c r="J1092" s="188">
        <f t="shared" si="105"/>
        <v>11774.6</v>
      </c>
    </row>
    <row r="1093" spans="1:10" ht="18.75">
      <c r="A1093" s="26"/>
      <c r="B1093" s="95" t="s">
        <v>277</v>
      </c>
      <c r="C1093" s="48" t="s">
        <v>596</v>
      </c>
      <c r="D1093" s="48" t="s">
        <v>54</v>
      </c>
      <c r="E1093" s="48" t="s">
        <v>57</v>
      </c>
      <c r="F1093" s="48" t="s">
        <v>276</v>
      </c>
      <c r="G1093" s="48"/>
      <c r="H1093" s="62">
        <f>H1094+H1095</f>
        <v>10419.1</v>
      </c>
      <c r="I1093" s="62">
        <f>I1094+I1095</f>
        <v>11774.6</v>
      </c>
      <c r="J1093" s="188">
        <f>J1094+J1095</f>
        <v>11774.6</v>
      </c>
    </row>
    <row r="1094" spans="1:10" ht="54">
      <c r="A1094" s="26"/>
      <c r="B1094" s="92" t="s">
        <v>580</v>
      </c>
      <c r="C1094" s="2" t="s">
        <v>596</v>
      </c>
      <c r="D1094" s="2" t="s">
        <v>54</v>
      </c>
      <c r="E1094" s="2" t="s">
        <v>57</v>
      </c>
      <c r="F1094" s="2" t="s">
        <v>276</v>
      </c>
      <c r="G1094" s="2" t="s">
        <v>191</v>
      </c>
      <c r="H1094" s="85">
        <v>9594.9</v>
      </c>
      <c r="I1094" s="85">
        <v>10747.1</v>
      </c>
      <c r="J1094" s="228">
        <v>10747.1</v>
      </c>
    </row>
    <row r="1095" spans="1:10" ht="36">
      <c r="A1095" s="26"/>
      <c r="B1095" s="93" t="s">
        <v>199</v>
      </c>
      <c r="C1095" s="54" t="s">
        <v>596</v>
      </c>
      <c r="D1095" s="54" t="s">
        <v>54</v>
      </c>
      <c r="E1095" s="54" t="s">
        <v>57</v>
      </c>
      <c r="F1095" s="54" t="s">
        <v>276</v>
      </c>
      <c r="G1095" s="9" t="s">
        <v>192</v>
      </c>
      <c r="H1095" s="74">
        <f>1027.5-203.3</f>
        <v>824.2</v>
      </c>
      <c r="I1095" s="74">
        <v>1027.5</v>
      </c>
      <c r="J1095" s="197">
        <v>1027.5</v>
      </c>
    </row>
    <row r="1096" spans="1:10" ht="37.5">
      <c r="A1096" s="26"/>
      <c r="B1096" s="96" t="s">
        <v>687</v>
      </c>
      <c r="C1096" s="41" t="s">
        <v>596</v>
      </c>
      <c r="D1096" s="41" t="s">
        <v>54</v>
      </c>
      <c r="E1096" s="41" t="s">
        <v>57</v>
      </c>
      <c r="F1096" s="41" t="s">
        <v>597</v>
      </c>
      <c r="G1096" s="41"/>
      <c r="H1096" s="66">
        <f aca="true" t="shared" si="106" ref="H1096:J1098">H1097</f>
        <v>3941.5</v>
      </c>
      <c r="I1096" s="66">
        <f t="shared" si="106"/>
        <v>3941.5</v>
      </c>
      <c r="J1096" s="186">
        <f t="shared" si="106"/>
        <v>3941.5</v>
      </c>
    </row>
    <row r="1097" spans="1:10" ht="18.75">
      <c r="A1097" s="26"/>
      <c r="B1097" s="95" t="s">
        <v>35</v>
      </c>
      <c r="C1097" s="48" t="s">
        <v>596</v>
      </c>
      <c r="D1097" s="48" t="s">
        <v>54</v>
      </c>
      <c r="E1097" s="48" t="s">
        <v>57</v>
      </c>
      <c r="F1097" s="48" t="s">
        <v>598</v>
      </c>
      <c r="G1097" s="48"/>
      <c r="H1097" s="62">
        <f t="shared" si="106"/>
        <v>3941.5</v>
      </c>
      <c r="I1097" s="62">
        <f t="shared" si="106"/>
        <v>3941.5</v>
      </c>
      <c r="J1097" s="188">
        <f t="shared" si="106"/>
        <v>3941.5</v>
      </c>
    </row>
    <row r="1098" spans="1:10" ht="18.75">
      <c r="A1098" s="26"/>
      <c r="B1098" s="95" t="s">
        <v>277</v>
      </c>
      <c r="C1098" s="48" t="s">
        <v>596</v>
      </c>
      <c r="D1098" s="48" t="s">
        <v>54</v>
      </c>
      <c r="E1098" s="48" t="s">
        <v>57</v>
      </c>
      <c r="F1098" s="48" t="s">
        <v>599</v>
      </c>
      <c r="G1098" s="48"/>
      <c r="H1098" s="62">
        <f t="shared" si="106"/>
        <v>3941.5</v>
      </c>
      <c r="I1098" s="62">
        <f t="shared" si="106"/>
        <v>3941.5</v>
      </c>
      <c r="J1098" s="188">
        <f t="shared" si="106"/>
        <v>3941.5</v>
      </c>
    </row>
    <row r="1099" spans="1:10" ht="54">
      <c r="A1099" s="26"/>
      <c r="B1099" s="93" t="s">
        <v>201</v>
      </c>
      <c r="C1099" s="54" t="s">
        <v>596</v>
      </c>
      <c r="D1099" s="54" t="s">
        <v>54</v>
      </c>
      <c r="E1099" s="54" t="s">
        <v>57</v>
      </c>
      <c r="F1099" s="54" t="s">
        <v>599</v>
      </c>
      <c r="G1099" s="54" t="s">
        <v>191</v>
      </c>
      <c r="H1099" s="74">
        <v>3941.5</v>
      </c>
      <c r="I1099" s="74">
        <v>3941.5</v>
      </c>
      <c r="J1099" s="197">
        <v>3941.5</v>
      </c>
    </row>
    <row r="1100" spans="1:10" ht="56.25">
      <c r="A1100" s="26"/>
      <c r="B1100" s="96" t="s">
        <v>746</v>
      </c>
      <c r="C1100" s="41" t="s">
        <v>596</v>
      </c>
      <c r="D1100" s="41" t="s">
        <v>54</v>
      </c>
      <c r="E1100" s="41" t="s">
        <v>57</v>
      </c>
      <c r="F1100" s="41" t="s">
        <v>698</v>
      </c>
      <c r="G1100" s="41"/>
      <c r="H1100" s="66">
        <f aca="true" t="shared" si="107" ref="H1100:J1101">H1101</f>
        <v>1355.5</v>
      </c>
      <c r="I1100" s="66">
        <f t="shared" si="107"/>
        <v>0</v>
      </c>
      <c r="J1100" s="186">
        <f t="shared" si="107"/>
        <v>0</v>
      </c>
    </row>
    <row r="1101" spans="1:10" ht="18.75">
      <c r="A1101" s="26"/>
      <c r="B1101" s="95" t="s">
        <v>35</v>
      </c>
      <c r="C1101" s="48" t="s">
        <v>596</v>
      </c>
      <c r="D1101" s="48" t="s">
        <v>54</v>
      </c>
      <c r="E1101" s="48" t="s">
        <v>57</v>
      </c>
      <c r="F1101" s="48" t="s">
        <v>699</v>
      </c>
      <c r="G1101" s="48"/>
      <c r="H1101" s="62">
        <f>H1102</f>
        <v>1355.5</v>
      </c>
      <c r="I1101" s="62">
        <f t="shared" si="107"/>
        <v>0</v>
      </c>
      <c r="J1101" s="188">
        <f t="shared" si="107"/>
        <v>0</v>
      </c>
    </row>
    <row r="1102" spans="1:10" ht="56.25">
      <c r="A1102" s="26"/>
      <c r="B1102" s="137" t="s">
        <v>747</v>
      </c>
      <c r="C1102" s="48" t="s">
        <v>596</v>
      </c>
      <c r="D1102" s="48" t="s">
        <v>54</v>
      </c>
      <c r="E1102" s="48" t="s">
        <v>57</v>
      </c>
      <c r="F1102" s="48" t="s">
        <v>748</v>
      </c>
      <c r="G1102" s="48"/>
      <c r="H1102" s="62">
        <f>SUM(H1103:H1104)</f>
        <v>1355.5</v>
      </c>
      <c r="I1102" s="62">
        <f>SUM(I1103:I1104)</f>
        <v>0</v>
      </c>
      <c r="J1102" s="188">
        <f>SUM(J1103:J1104)</f>
        <v>0</v>
      </c>
    </row>
    <row r="1103" spans="1:10" ht="54">
      <c r="A1103" s="26"/>
      <c r="B1103" s="92" t="s">
        <v>201</v>
      </c>
      <c r="C1103" s="2" t="s">
        <v>596</v>
      </c>
      <c r="D1103" s="2" t="s">
        <v>54</v>
      </c>
      <c r="E1103" s="2" t="s">
        <v>57</v>
      </c>
      <c r="F1103" s="2" t="s">
        <v>748</v>
      </c>
      <c r="G1103" s="2" t="s">
        <v>191</v>
      </c>
      <c r="H1103" s="68">
        <f>1152.3-0.1</f>
        <v>1152.2</v>
      </c>
      <c r="I1103" s="68">
        <v>0</v>
      </c>
      <c r="J1103" s="99">
        <v>0</v>
      </c>
    </row>
    <row r="1104" spans="1:10" ht="36.75" thickBot="1">
      <c r="A1104" s="26"/>
      <c r="B1104" s="175" t="s">
        <v>199</v>
      </c>
      <c r="C1104" s="235" t="s">
        <v>596</v>
      </c>
      <c r="D1104" s="235" t="s">
        <v>54</v>
      </c>
      <c r="E1104" s="235" t="s">
        <v>57</v>
      </c>
      <c r="F1104" s="235" t="s">
        <v>748</v>
      </c>
      <c r="G1104" s="235" t="s">
        <v>192</v>
      </c>
      <c r="H1104" s="236">
        <v>203.3</v>
      </c>
      <c r="I1104" s="236">
        <v>0</v>
      </c>
      <c r="J1104" s="237">
        <v>0</v>
      </c>
    </row>
    <row r="1105" spans="1:10" ht="38.25" thickBot="1">
      <c r="A1105" s="159" t="s">
        <v>58</v>
      </c>
      <c r="B1105" s="160" t="s">
        <v>11</v>
      </c>
      <c r="C1105" s="161" t="s">
        <v>60</v>
      </c>
      <c r="D1105" s="161"/>
      <c r="E1105" s="162" t="s">
        <v>37</v>
      </c>
      <c r="F1105" s="162" t="s">
        <v>37</v>
      </c>
      <c r="G1105" s="162" t="s">
        <v>37</v>
      </c>
      <c r="H1105" s="163">
        <f>H1106+H1146</f>
        <v>264515.89999999997</v>
      </c>
      <c r="I1105" s="163">
        <f>I1106+I1146</f>
        <v>260046.99999999997</v>
      </c>
      <c r="J1105" s="164">
        <f>J1106+J1146</f>
        <v>260068.9</v>
      </c>
    </row>
    <row r="1106" spans="1:10" ht="18.75">
      <c r="A1106" s="26"/>
      <c r="B1106" s="113" t="s">
        <v>43</v>
      </c>
      <c r="C1106" s="43" t="s">
        <v>60</v>
      </c>
      <c r="D1106" s="43" t="s">
        <v>52</v>
      </c>
      <c r="E1106" s="27"/>
      <c r="F1106" s="27"/>
      <c r="G1106" s="27"/>
      <c r="H1106" s="67">
        <f aca="true" t="shared" si="108" ref="H1106:J1108">H1107</f>
        <v>206176.3</v>
      </c>
      <c r="I1106" s="67">
        <f t="shared" si="108"/>
        <v>205410.59999999998</v>
      </c>
      <c r="J1106" s="244">
        <f t="shared" si="108"/>
        <v>205422.3</v>
      </c>
    </row>
    <row r="1107" spans="1:10" ht="18.75">
      <c r="A1107" s="26"/>
      <c r="B1107" s="96" t="s">
        <v>171</v>
      </c>
      <c r="C1107" s="22" t="s">
        <v>60</v>
      </c>
      <c r="D1107" s="22" t="s">
        <v>52</v>
      </c>
      <c r="E1107" s="23" t="s">
        <v>53</v>
      </c>
      <c r="F1107" s="23"/>
      <c r="G1107" s="23"/>
      <c r="H1107" s="66">
        <f>H1108+H1133+H1141</f>
        <v>206176.3</v>
      </c>
      <c r="I1107" s="66">
        <f>I1108+I1133</f>
        <v>205410.59999999998</v>
      </c>
      <c r="J1107" s="186">
        <f>J1108+J1133</f>
        <v>205422.3</v>
      </c>
    </row>
    <row r="1108" spans="1:10" ht="37.5">
      <c r="A1108" s="26"/>
      <c r="B1108" s="96" t="s">
        <v>584</v>
      </c>
      <c r="C1108" s="22" t="s">
        <v>60</v>
      </c>
      <c r="D1108" s="22" t="s">
        <v>52</v>
      </c>
      <c r="E1108" s="23" t="s">
        <v>53</v>
      </c>
      <c r="F1108" s="23" t="s">
        <v>285</v>
      </c>
      <c r="G1108" s="23"/>
      <c r="H1108" s="66">
        <f t="shared" si="108"/>
        <v>205972.3</v>
      </c>
      <c r="I1108" s="66">
        <f t="shared" si="108"/>
        <v>205410.59999999998</v>
      </c>
      <c r="J1108" s="186">
        <f t="shared" si="108"/>
        <v>205422.3</v>
      </c>
    </row>
    <row r="1109" spans="1:10" ht="18.75">
      <c r="A1109" s="26"/>
      <c r="B1109" s="96" t="s">
        <v>286</v>
      </c>
      <c r="C1109" s="22" t="s">
        <v>60</v>
      </c>
      <c r="D1109" s="22" t="s">
        <v>52</v>
      </c>
      <c r="E1109" s="23" t="s">
        <v>53</v>
      </c>
      <c r="F1109" s="23" t="s">
        <v>287</v>
      </c>
      <c r="G1109" s="28"/>
      <c r="H1109" s="66">
        <f>H1110+H1116+H1123</f>
        <v>205972.3</v>
      </c>
      <c r="I1109" s="66">
        <f>I1110+I1116+I1123</f>
        <v>205410.59999999998</v>
      </c>
      <c r="J1109" s="186">
        <f>J1110+J1116+J1123</f>
        <v>205422.3</v>
      </c>
    </row>
    <row r="1110" spans="1:10" ht="37.5">
      <c r="A1110" s="26"/>
      <c r="B1110" s="95" t="s">
        <v>431</v>
      </c>
      <c r="C1110" s="11" t="s">
        <v>60</v>
      </c>
      <c r="D1110" s="11" t="s">
        <v>52</v>
      </c>
      <c r="E1110" s="1" t="s">
        <v>53</v>
      </c>
      <c r="F1110" s="1" t="s">
        <v>429</v>
      </c>
      <c r="G1110" s="12"/>
      <c r="H1110" s="62">
        <f>H1111+H1114</f>
        <v>194103.5</v>
      </c>
      <c r="I1110" s="62">
        <f>I1111+I1114</f>
        <v>193169.19999999998</v>
      </c>
      <c r="J1110" s="188">
        <f>J1111+J1114</f>
        <v>193169.3</v>
      </c>
    </row>
    <row r="1111" spans="1:10" ht="37.5">
      <c r="A1111" s="26"/>
      <c r="B1111" s="95" t="s">
        <v>297</v>
      </c>
      <c r="C1111" s="11" t="s">
        <v>60</v>
      </c>
      <c r="D1111" s="11" t="s">
        <v>52</v>
      </c>
      <c r="E1111" s="1" t="s">
        <v>53</v>
      </c>
      <c r="F1111" s="1" t="s">
        <v>430</v>
      </c>
      <c r="G1111" s="1"/>
      <c r="H1111" s="62">
        <f>H1113+H1112</f>
        <v>193594.5</v>
      </c>
      <c r="I1111" s="62">
        <f>I1113+I1112</f>
        <v>192660.19999999998</v>
      </c>
      <c r="J1111" s="188">
        <f>J1113+J1112</f>
        <v>192660.3</v>
      </c>
    </row>
    <row r="1112" spans="1:10" ht="36">
      <c r="A1112" s="26"/>
      <c r="B1112" s="92" t="s">
        <v>199</v>
      </c>
      <c r="C1112" s="21" t="s">
        <v>60</v>
      </c>
      <c r="D1112" s="21" t="s">
        <v>52</v>
      </c>
      <c r="E1112" s="21" t="s">
        <v>53</v>
      </c>
      <c r="F1112" s="21" t="s">
        <v>430</v>
      </c>
      <c r="G1112" s="21" t="s">
        <v>192</v>
      </c>
      <c r="H1112" s="68">
        <f>1232.3-65.7</f>
        <v>1166.6</v>
      </c>
      <c r="I1112" s="68">
        <v>1232.3</v>
      </c>
      <c r="J1112" s="99">
        <v>1232.3</v>
      </c>
    </row>
    <row r="1113" spans="1:10" ht="36">
      <c r="A1113" s="26"/>
      <c r="B1113" s="93" t="s">
        <v>204</v>
      </c>
      <c r="C1113" s="9" t="s">
        <v>60</v>
      </c>
      <c r="D1113" s="9" t="s">
        <v>52</v>
      </c>
      <c r="E1113" s="9" t="s">
        <v>53</v>
      </c>
      <c r="F1113" s="9" t="s">
        <v>430</v>
      </c>
      <c r="G1113" s="9" t="s">
        <v>196</v>
      </c>
      <c r="H1113" s="70">
        <f>191428+65.6+934.3</f>
        <v>192427.9</v>
      </c>
      <c r="I1113" s="70">
        <f>191428-0.1</f>
        <v>191427.9</v>
      </c>
      <c r="J1113" s="13">
        <v>191428</v>
      </c>
    </row>
    <row r="1114" spans="1:10" ht="37.5">
      <c r="A1114" s="26"/>
      <c r="B1114" s="108" t="s">
        <v>432</v>
      </c>
      <c r="C1114" s="11" t="s">
        <v>60</v>
      </c>
      <c r="D1114" s="11" t="s">
        <v>52</v>
      </c>
      <c r="E1114" s="1" t="s">
        <v>53</v>
      </c>
      <c r="F1114" s="1" t="s">
        <v>445</v>
      </c>
      <c r="G1114" s="1"/>
      <c r="H1114" s="62">
        <f>SUM(H1115:H1115)</f>
        <v>509</v>
      </c>
      <c r="I1114" s="62">
        <f>SUM(I1115:I1115)</f>
        <v>509</v>
      </c>
      <c r="J1114" s="188">
        <f>SUM(J1115:J1115)</f>
        <v>509</v>
      </c>
    </row>
    <row r="1115" spans="1:10" ht="36">
      <c r="A1115" s="26"/>
      <c r="B1115" s="93" t="s">
        <v>204</v>
      </c>
      <c r="C1115" s="9" t="s">
        <v>60</v>
      </c>
      <c r="D1115" s="9" t="s">
        <v>52</v>
      </c>
      <c r="E1115" s="9" t="s">
        <v>53</v>
      </c>
      <c r="F1115" s="9" t="s">
        <v>445</v>
      </c>
      <c r="G1115" s="9" t="s">
        <v>196</v>
      </c>
      <c r="H1115" s="74">
        <f>282+124+103</f>
        <v>509</v>
      </c>
      <c r="I1115" s="74">
        <f>282+124+103</f>
        <v>509</v>
      </c>
      <c r="J1115" s="197">
        <f>282+124+103</f>
        <v>509</v>
      </c>
    </row>
    <row r="1116" spans="1:10" ht="37.5">
      <c r="A1116" s="26"/>
      <c r="B1116" s="95" t="s">
        <v>435</v>
      </c>
      <c r="C1116" s="11" t="s">
        <v>60</v>
      </c>
      <c r="D1116" s="11" t="s">
        <v>52</v>
      </c>
      <c r="E1116" s="1" t="s">
        <v>53</v>
      </c>
      <c r="F1116" s="1" t="s">
        <v>433</v>
      </c>
      <c r="G1116" s="12"/>
      <c r="H1116" s="62">
        <f>H1120+H1117</f>
        <v>8177.300000000001</v>
      </c>
      <c r="I1116" s="62">
        <f>I1120+I1117</f>
        <v>9198.4</v>
      </c>
      <c r="J1116" s="188">
        <f>J1120+J1117</f>
        <v>9210</v>
      </c>
    </row>
    <row r="1117" spans="1:10" ht="37.5">
      <c r="A1117" s="26"/>
      <c r="B1117" s="110" t="s">
        <v>568</v>
      </c>
      <c r="C1117" s="22" t="s">
        <v>60</v>
      </c>
      <c r="D1117" s="22" t="s">
        <v>52</v>
      </c>
      <c r="E1117" s="23" t="s">
        <v>53</v>
      </c>
      <c r="F1117" s="23" t="s">
        <v>567</v>
      </c>
      <c r="G1117" s="23"/>
      <c r="H1117" s="66">
        <f>SUM(H1118:H1119)</f>
        <v>7163.300000000001</v>
      </c>
      <c r="I1117" s="66">
        <f>SUM(I1118:I1119)</f>
        <v>8173</v>
      </c>
      <c r="J1117" s="66">
        <f>SUM(J1118:J1119)</f>
        <v>8173</v>
      </c>
    </row>
    <row r="1118" spans="1:10" ht="36">
      <c r="A1118" s="26"/>
      <c r="B1118" s="92" t="s">
        <v>199</v>
      </c>
      <c r="C1118" s="21" t="s">
        <v>60</v>
      </c>
      <c r="D1118" s="21" t="s">
        <v>52</v>
      </c>
      <c r="E1118" s="21" t="s">
        <v>53</v>
      </c>
      <c r="F1118" s="21" t="s">
        <v>567</v>
      </c>
      <c r="G1118" s="21" t="s">
        <v>192</v>
      </c>
      <c r="H1118" s="85">
        <f>8140-3967.5-732.5-1040.9</f>
        <v>2399.1</v>
      </c>
      <c r="I1118" s="85">
        <v>8173</v>
      </c>
      <c r="J1118" s="228">
        <v>8173</v>
      </c>
    </row>
    <row r="1119" spans="1:10" ht="36">
      <c r="A1119" s="26"/>
      <c r="B1119" s="93" t="s">
        <v>204</v>
      </c>
      <c r="C1119" s="9" t="s">
        <v>60</v>
      </c>
      <c r="D1119" s="9" t="s">
        <v>52</v>
      </c>
      <c r="E1119" s="9" t="s">
        <v>53</v>
      </c>
      <c r="F1119" s="9" t="s">
        <v>567</v>
      </c>
      <c r="G1119" s="9" t="s">
        <v>196</v>
      </c>
      <c r="H1119" s="74">
        <f>3723.3+1040.9</f>
        <v>4764.200000000001</v>
      </c>
      <c r="I1119" s="74">
        <v>0</v>
      </c>
      <c r="J1119" s="197">
        <v>0</v>
      </c>
    </row>
    <row r="1120" spans="1:10" ht="75">
      <c r="A1120" s="26"/>
      <c r="B1120" s="95" t="s">
        <v>219</v>
      </c>
      <c r="C1120" s="11" t="s">
        <v>60</v>
      </c>
      <c r="D1120" s="11" t="s">
        <v>52</v>
      </c>
      <c r="E1120" s="1" t="s">
        <v>53</v>
      </c>
      <c r="F1120" s="1" t="s">
        <v>434</v>
      </c>
      <c r="G1120" s="12"/>
      <c r="H1120" s="62">
        <f>SUM(H1121:H1122)</f>
        <v>1014</v>
      </c>
      <c r="I1120" s="62">
        <f>SUM(I1121:I1122)</f>
        <v>1025.4</v>
      </c>
      <c r="J1120" s="188">
        <f>SUM(J1121:J1122)</f>
        <v>1037</v>
      </c>
    </row>
    <row r="1121" spans="1:10" ht="36">
      <c r="A1121" s="26"/>
      <c r="B1121" s="92" t="s">
        <v>199</v>
      </c>
      <c r="C1121" s="21" t="s">
        <v>60</v>
      </c>
      <c r="D1121" s="21" t="s">
        <v>52</v>
      </c>
      <c r="E1121" s="21" t="s">
        <v>53</v>
      </c>
      <c r="F1121" s="21" t="s">
        <v>434</v>
      </c>
      <c r="G1121" s="21" t="s">
        <v>192</v>
      </c>
      <c r="H1121" s="85">
        <f>105.5-4.1-101.4</f>
        <v>0</v>
      </c>
      <c r="I1121" s="85">
        <f>117.3-4.5+912.6</f>
        <v>1025.4</v>
      </c>
      <c r="J1121" s="228">
        <f>117.3+7.1+912.6</f>
        <v>1037</v>
      </c>
    </row>
    <row r="1122" spans="1:10" ht="36">
      <c r="A1122" s="26"/>
      <c r="B1122" s="93" t="s">
        <v>204</v>
      </c>
      <c r="C1122" s="9" t="s">
        <v>60</v>
      </c>
      <c r="D1122" s="9" t="s">
        <v>52</v>
      </c>
      <c r="E1122" s="9" t="s">
        <v>53</v>
      </c>
      <c r="F1122" s="9" t="s">
        <v>434</v>
      </c>
      <c r="G1122" s="9" t="s">
        <v>196</v>
      </c>
      <c r="H1122" s="74">
        <f>101.4+912.6</f>
        <v>1014</v>
      </c>
      <c r="I1122" s="74">
        <v>0</v>
      </c>
      <c r="J1122" s="197">
        <v>0</v>
      </c>
    </row>
    <row r="1123" spans="1:10" ht="56.25">
      <c r="A1123" s="26"/>
      <c r="B1123" s="95" t="s">
        <v>215</v>
      </c>
      <c r="C1123" s="11" t="s">
        <v>60</v>
      </c>
      <c r="D1123" s="11" t="s">
        <v>214</v>
      </c>
      <c r="E1123" s="1" t="s">
        <v>53</v>
      </c>
      <c r="F1123" s="23" t="s">
        <v>436</v>
      </c>
      <c r="G1123" s="12"/>
      <c r="H1123" s="62">
        <f>H1124+H1126+H1131+H1128</f>
        <v>3691.5</v>
      </c>
      <c r="I1123" s="62">
        <f>I1124+I1126+I1131+I1128</f>
        <v>3043</v>
      </c>
      <c r="J1123" s="188">
        <f>J1124+J1126+J1131+J1128</f>
        <v>3043</v>
      </c>
    </row>
    <row r="1124" spans="1:10" ht="18.75">
      <c r="A1124" s="26"/>
      <c r="B1124" s="95" t="s">
        <v>439</v>
      </c>
      <c r="C1124" s="11" t="s">
        <v>60</v>
      </c>
      <c r="D1124" s="11" t="s">
        <v>52</v>
      </c>
      <c r="E1124" s="1" t="s">
        <v>53</v>
      </c>
      <c r="F1124" s="1" t="s">
        <v>438</v>
      </c>
      <c r="G1124" s="1"/>
      <c r="H1124" s="62">
        <f>H1125</f>
        <v>402.6</v>
      </c>
      <c r="I1124" s="62">
        <f>I1125</f>
        <v>402.6</v>
      </c>
      <c r="J1124" s="188">
        <f>J1125</f>
        <v>402.6</v>
      </c>
    </row>
    <row r="1125" spans="1:10" ht="36">
      <c r="A1125" s="26"/>
      <c r="B1125" s="93" t="s">
        <v>204</v>
      </c>
      <c r="C1125" s="9" t="s">
        <v>60</v>
      </c>
      <c r="D1125" s="9" t="s">
        <v>52</v>
      </c>
      <c r="E1125" s="9" t="s">
        <v>53</v>
      </c>
      <c r="F1125" s="9" t="s">
        <v>438</v>
      </c>
      <c r="G1125" s="9" t="s">
        <v>196</v>
      </c>
      <c r="H1125" s="70">
        <v>402.6</v>
      </c>
      <c r="I1125" s="70">
        <v>402.6</v>
      </c>
      <c r="J1125" s="13">
        <v>402.6</v>
      </c>
    </row>
    <row r="1126" spans="1:10" ht="18.75">
      <c r="A1126" s="26"/>
      <c r="B1126" s="108" t="s">
        <v>440</v>
      </c>
      <c r="C1126" s="11" t="s">
        <v>60</v>
      </c>
      <c r="D1126" s="11" t="s">
        <v>52</v>
      </c>
      <c r="E1126" s="1" t="s">
        <v>53</v>
      </c>
      <c r="F1126" s="1" t="s">
        <v>441</v>
      </c>
      <c r="G1126" s="1"/>
      <c r="H1126" s="62">
        <f>H1127</f>
        <v>996</v>
      </c>
      <c r="I1126" s="62">
        <f>I1127</f>
        <v>996</v>
      </c>
      <c r="J1126" s="188">
        <f>J1127</f>
        <v>996</v>
      </c>
    </row>
    <row r="1127" spans="1:10" ht="36">
      <c r="A1127" s="26"/>
      <c r="B1127" s="93" t="s">
        <v>204</v>
      </c>
      <c r="C1127" s="9" t="s">
        <v>60</v>
      </c>
      <c r="D1127" s="9" t="s">
        <v>52</v>
      </c>
      <c r="E1127" s="9" t="s">
        <v>53</v>
      </c>
      <c r="F1127" s="9" t="s">
        <v>441</v>
      </c>
      <c r="G1127" s="9" t="s">
        <v>196</v>
      </c>
      <c r="H1127" s="70">
        <f>960+36</f>
        <v>996</v>
      </c>
      <c r="I1127" s="70">
        <f>960+36</f>
        <v>996</v>
      </c>
      <c r="J1127" s="13">
        <f>960+36</f>
        <v>996</v>
      </c>
    </row>
    <row r="1128" spans="1:10" ht="56.25">
      <c r="A1128" s="26"/>
      <c r="B1128" s="108" t="s">
        <v>443</v>
      </c>
      <c r="C1128" s="11" t="s">
        <v>60</v>
      </c>
      <c r="D1128" s="11" t="s">
        <v>52</v>
      </c>
      <c r="E1128" s="1" t="s">
        <v>53</v>
      </c>
      <c r="F1128" s="1" t="s">
        <v>444</v>
      </c>
      <c r="G1128" s="1"/>
      <c r="H1128" s="62">
        <f>SUM(H1129:H1130)</f>
        <v>1456.5</v>
      </c>
      <c r="I1128" s="62">
        <f>SUM(I1129:I1130)</f>
        <v>808</v>
      </c>
      <c r="J1128" s="62">
        <f>SUM(J1129:J1130)</f>
        <v>808</v>
      </c>
    </row>
    <row r="1129" spans="1:10" ht="36">
      <c r="A1129" s="26"/>
      <c r="B1129" s="92" t="s">
        <v>199</v>
      </c>
      <c r="C1129" s="21" t="s">
        <v>60</v>
      </c>
      <c r="D1129" s="21" t="s">
        <v>52</v>
      </c>
      <c r="E1129" s="21" t="s">
        <v>53</v>
      </c>
      <c r="F1129" s="21" t="s">
        <v>444</v>
      </c>
      <c r="G1129" s="21" t="s">
        <v>192</v>
      </c>
      <c r="H1129" s="85">
        <f>156+671-103-365.5</f>
        <v>358.5</v>
      </c>
      <c r="I1129" s="85">
        <f>911-103</f>
        <v>808</v>
      </c>
      <c r="J1129" s="228">
        <f>911-103</f>
        <v>808</v>
      </c>
    </row>
    <row r="1130" spans="1:10" ht="36">
      <c r="A1130" s="26"/>
      <c r="B1130" s="93" t="s">
        <v>204</v>
      </c>
      <c r="C1130" s="9" t="s">
        <v>60</v>
      </c>
      <c r="D1130" s="9" t="s">
        <v>52</v>
      </c>
      <c r="E1130" s="9" t="s">
        <v>53</v>
      </c>
      <c r="F1130" s="9" t="s">
        <v>444</v>
      </c>
      <c r="G1130" s="9" t="s">
        <v>196</v>
      </c>
      <c r="H1130" s="74">
        <f>365.5+732.5</f>
        <v>1098</v>
      </c>
      <c r="I1130" s="74">
        <v>0</v>
      </c>
      <c r="J1130" s="197">
        <v>0</v>
      </c>
    </row>
    <row r="1131" spans="1:10" ht="56.25">
      <c r="A1131" s="26"/>
      <c r="B1131" s="108" t="s">
        <v>557</v>
      </c>
      <c r="C1131" s="11" t="s">
        <v>60</v>
      </c>
      <c r="D1131" s="11" t="s">
        <v>52</v>
      </c>
      <c r="E1131" s="1" t="s">
        <v>53</v>
      </c>
      <c r="F1131" s="1" t="s">
        <v>442</v>
      </c>
      <c r="G1131" s="1"/>
      <c r="H1131" s="62">
        <f>SUM(H1132:H1132)</f>
        <v>836.4</v>
      </c>
      <c r="I1131" s="62">
        <f>SUM(I1132:I1132)</f>
        <v>836.4</v>
      </c>
      <c r="J1131" s="188">
        <f>SUM(J1132:J1132)</f>
        <v>836.4</v>
      </c>
    </row>
    <row r="1132" spans="1:10" ht="36">
      <c r="A1132" s="26"/>
      <c r="B1132" s="93" t="s">
        <v>204</v>
      </c>
      <c r="C1132" s="9" t="s">
        <v>60</v>
      </c>
      <c r="D1132" s="9" t="s">
        <v>52</v>
      </c>
      <c r="E1132" s="9" t="s">
        <v>53</v>
      </c>
      <c r="F1132" s="9" t="s">
        <v>442</v>
      </c>
      <c r="G1132" s="9" t="s">
        <v>196</v>
      </c>
      <c r="H1132" s="70">
        <v>836.4</v>
      </c>
      <c r="I1132" s="70">
        <v>836.4</v>
      </c>
      <c r="J1132" s="13">
        <v>836.4</v>
      </c>
    </row>
    <row r="1133" spans="1:10" ht="56.25">
      <c r="A1133" s="26"/>
      <c r="B1133" s="96" t="s">
        <v>13</v>
      </c>
      <c r="C1133" s="22" t="s">
        <v>60</v>
      </c>
      <c r="D1133" s="22" t="s">
        <v>52</v>
      </c>
      <c r="E1133" s="23" t="s">
        <v>53</v>
      </c>
      <c r="F1133" s="23" t="s">
        <v>414</v>
      </c>
      <c r="G1133" s="28"/>
      <c r="H1133" s="66">
        <f>H1134</f>
        <v>104</v>
      </c>
      <c r="I1133" s="66">
        <f>I1134</f>
        <v>0</v>
      </c>
      <c r="J1133" s="186">
        <f>J1134</f>
        <v>0</v>
      </c>
    </row>
    <row r="1134" spans="1:10" ht="18.75">
      <c r="A1134" s="26"/>
      <c r="B1134" s="108" t="s">
        <v>294</v>
      </c>
      <c r="C1134" s="11" t="s">
        <v>60</v>
      </c>
      <c r="D1134" s="11" t="s">
        <v>52</v>
      </c>
      <c r="E1134" s="1" t="s">
        <v>53</v>
      </c>
      <c r="F1134" s="1" t="s">
        <v>416</v>
      </c>
      <c r="G1134" s="1"/>
      <c r="H1134" s="62">
        <f>H1138+H1135</f>
        <v>104</v>
      </c>
      <c r="I1134" s="62">
        <f>I1138+I1135</f>
        <v>0</v>
      </c>
      <c r="J1134" s="188">
        <f>J1138+J1135</f>
        <v>0</v>
      </c>
    </row>
    <row r="1135" spans="1:10" ht="56.25">
      <c r="A1135" s="26"/>
      <c r="B1135" s="108" t="s">
        <v>677</v>
      </c>
      <c r="C1135" s="11" t="s">
        <v>60</v>
      </c>
      <c r="D1135" s="11" t="s">
        <v>52</v>
      </c>
      <c r="E1135" s="1" t="s">
        <v>53</v>
      </c>
      <c r="F1135" s="1" t="s">
        <v>652</v>
      </c>
      <c r="G1135" s="1"/>
      <c r="H1135" s="62">
        <f>H1137</f>
        <v>60</v>
      </c>
      <c r="I1135" s="62">
        <f>I1137</f>
        <v>0</v>
      </c>
      <c r="J1135" s="188">
        <f>J1137</f>
        <v>0</v>
      </c>
    </row>
    <row r="1136" spans="1:10" ht="56.25">
      <c r="A1136" s="26"/>
      <c r="B1136" s="108" t="s">
        <v>678</v>
      </c>
      <c r="C1136" s="11" t="s">
        <v>60</v>
      </c>
      <c r="D1136" s="11" t="s">
        <v>52</v>
      </c>
      <c r="E1136" s="1" t="s">
        <v>53</v>
      </c>
      <c r="F1136" s="1" t="s">
        <v>653</v>
      </c>
      <c r="G1136" s="1"/>
      <c r="H1136" s="62">
        <f>SUM(H1137:H1137)</f>
        <v>60</v>
      </c>
      <c r="I1136" s="62">
        <f>SUM(I1137:I1137)</f>
        <v>0</v>
      </c>
      <c r="J1136" s="188">
        <f>SUM(J1137:J1137)</f>
        <v>0</v>
      </c>
    </row>
    <row r="1137" spans="1:10" ht="36">
      <c r="A1137" s="26"/>
      <c r="B1137" s="93" t="s">
        <v>204</v>
      </c>
      <c r="C1137" s="9" t="s">
        <v>60</v>
      </c>
      <c r="D1137" s="9" t="s">
        <v>52</v>
      </c>
      <c r="E1137" s="9" t="s">
        <v>53</v>
      </c>
      <c r="F1137" s="9" t="s">
        <v>653</v>
      </c>
      <c r="G1137" s="9" t="s">
        <v>196</v>
      </c>
      <c r="H1137" s="70">
        <v>60</v>
      </c>
      <c r="I1137" s="70">
        <v>0</v>
      </c>
      <c r="J1137" s="13">
        <v>0</v>
      </c>
    </row>
    <row r="1138" spans="1:10" ht="37.5">
      <c r="A1138" s="26"/>
      <c r="B1138" s="108" t="s">
        <v>675</v>
      </c>
      <c r="C1138" s="11" t="s">
        <v>60</v>
      </c>
      <c r="D1138" s="11" t="s">
        <v>52</v>
      </c>
      <c r="E1138" s="1" t="s">
        <v>53</v>
      </c>
      <c r="F1138" s="1" t="s">
        <v>415</v>
      </c>
      <c r="G1138" s="1"/>
      <c r="H1138" s="62">
        <f>H1140</f>
        <v>44</v>
      </c>
      <c r="I1138" s="62">
        <f>I1140</f>
        <v>0</v>
      </c>
      <c r="J1138" s="188">
        <f>J1140</f>
        <v>0</v>
      </c>
    </row>
    <row r="1139" spans="1:10" ht="37.5">
      <c r="A1139" s="26"/>
      <c r="B1139" s="108" t="s">
        <v>682</v>
      </c>
      <c r="C1139" s="11" t="s">
        <v>60</v>
      </c>
      <c r="D1139" s="11" t="s">
        <v>52</v>
      </c>
      <c r="E1139" s="1" t="s">
        <v>53</v>
      </c>
      <c r="F1139" s="1" t="s">
        <v>650</v>
      </c>
      <c r="G1139" s="1"/>
      <c r="H1139" s="62">
        <f>SUM(H1140:H1140)</f>
        <v>44</v>
      </c>
      <c r="I1139" s="62">
        <f>SUM(I1140:I1140)</f>
        <v>0</v>
      </c>
      <c r="J1139" s="188">
        <f>SUM(J1140:J1140)</f>
        <v>0</v>
      </c>
    </row>
    <row r="1140" spans="1:10" ht="36">
      <c r="A1140" s="26"/>
      <c r="B1140" s="93" t="s">
        <v>204</v>
      </c>
      <c r="C1140" s="9" t="s">
        <v>60</v>
      </c>
      <c r="D1140" s="9" t="s">
        <v>52</v>
      </c>
      <c r="E1140" s="9" t="s">
        <v>53</v>
      </c>
      <c r="F1140" s="9" t="s">
        <v>650</v>
      </c>
      <c r="G1140" s="9" t="s">
        <v>196</v>
      </c>
      <c r="H1140" s="70">
        <v>44</v>
      </c>
      <c r="I1140" s="70">
        <v>0</v>
      </c>
      <c r="J1140" s="13">
        <v>0</v>
      </c>
    </row>
    <row r="1141" spans="1:10" ht="18.75">
      <c r="A1141" s="26"/>
      <c r="B1141" s="116" t="s">
        <v>26</v>
      </c>
      <c r="C1141" s="14" t="s">
        <v>60</v>
      </c>
      <c r="D1141" s="14" t="s">
        <v>52</v>
      </c>
      <c r="E1141" s="14" t="s">
        <v>53</v>
      </c>
      <c r="F1141" s="14" t="s">
        <v>88</v>
      </c>
      <c r="G1141" s="28"/>
      <c r="H1141" s="66">
        <f aca="true" t="shared" si="109" ref="H1141:J1144">H1142</f>
        <v>100</v>
      </c>
      <c r="I1141" s="66">
        <f t="shared" si="109"/>
        <v>0</v>
      </c>
      <c r="J1141" s="186">
        <f t="shared" si="109"/>
        <v>0</v>
      </c>
    </row>
    <row r="1142" spans="1:10" ht="18.75">
      <c r="A1142" s="26"/>
      <c r="B1142" s="116" t="s">
        <v>35</v>
      </c>
      <c r="C1142" s="14" t="s">
        <v>60</v>
      </c>
      <c r="D1142" s="14" t="s">
        <v>52</v>
      </c>
      <c r="E1142" s="14" t="s">
        <v>53</v>
      </c>
      <c r="F1142" s="222" t="s">
        <v>89</v>
      </c>
      <c r="G1142" s="28"/>
      <c r="H1142" s="66">
        <f t="shared" si="109"/>
        <v>100</v>
      </c>
      <c r="I1142" s="66">
        <f t="shared" si="109"/>
        <v>0</v>
      </c>
      <c r="J1142" s="186">
        <f t="shared" si="109"/>
        <v>0</v>
      </c>
    </row>
    <row r="1143" spans="1:10" ht="18.75">
      <c r="A1143" s="26"/>
      <c r="B1143" s="116" t="s">
        <v>35</v>
      </c>
      <c r="C1143" s="14" t="s">
        <v>60</v>
      </c>
      <c r="D1143" s="14" t="s">
        <v>52</v>
      </c>
      <c r="E1143" s="14" t="s">
        <v>53</v>
      </c>
      <c r="F1143" s="222" t="s">
        <v>90</v>
      </c>
      <c r="G1143" s="28"/>
      <c r="H1143" s="66">
        <f t="shared" si="109"/>
        <v>100</v>
      </c>
      <c r="I1143" s="66">
        <f t="shared" si="109"/>
        <v>0</v>
      </c>
      <c r="J1143" s="186">
        <f t="shared" si="109"/>
        <v>0</v>
      </c>
    </row>
    <row r="1144" spans="1:10" ht="37.5">
      <c r="A1144" s="26"/>
      <c r="B1144" s="95" t="s">
        <v>297</v>
      </c>
      <c r="C1144" s="48" t="s">
        <v>60</v>
      </c>
      <c r="D1144" s="48" t="s">
        <v>52</v>
      </c>
      <c r="E1144" s="48" t="s">
        <v>53</v>
      </c>
      <c r="F1144" s="48" t="s">
        <v>413</v>
      </c>
      <c r="G1144" s="12"/>
      <c r="H1144" s="62">
        <f>H1145</f>
        <v>100</v>
      </c>
      <c r="I1144" s="62">
        <f t="shared" si="109"/>
        <v>0</v>
      </c>
      <c r="J1144" s="188">
        <f t="shared" si="109"/>
        <v>0</v>
      </c>
    </row>
    <row r="1145" spans="1:10" ht="36">
      <c r="A1145" s="26"/>
      <c r="B1145" s="93" t="s">
        <v>204</v>
      </c>
      <c r="C1145" s="2" t="s">
        <v>60</v>
      </c>
      <c r="D1145" s="2" t="s">
        <v>52</v>
      </c>
      <c r="E1145" s="2" t="s">
        <v>53</v>
      </c>
      <c r="F1145" s="2" t="s">
        <v>413</v>
      </c>
      <c r="G1145" s="21" t="s">
        <v>196</v>
      </c>
      <c r="H1145" s="68">
        <f>100+100-100</f>
        <v>100</v>
      </c>
      <c r="I1145" s="68">
        <v>0</v>
      </c>
      <c r="J1145" s="99">
        <v>0</v>
      </c>
    </row>
    <row r="1146" spans="1:10" ht="18.75">
      <c r="A1146" s="26"/>
      <c r="B1146" s="96" t="s">
        <v>8</v>
      </c>
      <c r="C1146" s="22" t="s">
        <v>60</v>
      </c>
      <c r="D1146" s="22" t="s">
        <v>58</v>
      </c>
      <c r="E1146" s="23"/>
      <c r="F1146" s="23" t="s">
        <v>37</v>
      </c>
      <c r="G1146" s="23"/>
      <c r="H1146" s="66">
        <f>H1147+H1186</f>
        <v>58339.59999999999</v>
      </c>
      <c r="I1146" s="66">
        <f>I1147+I1186</f>
        <v>54636.399999999994</v>
      </c>
      <c r="J1146" s="186">
        <f>J1147+J1186</f>
        <v>54646.600000000006</v>
      </c>
    </row>
    <row r="1147" spans="1:10" ht="18.75">
      <c r="A1147" s="26"/>
      <c r="B1147" s="95" t="s">
        <v>67</v>
      </c>
      <c r="C1147" s="11" t="s">
        <v>60</v>
      </c>
      <c r="D1147" s="11" t="s">
        <v>58</v>
      </c>
      <c r="E1147" s="1" t="s">
        <v>54</v>
      </c>
      <c r="F1147" s="1" t="s">
        <v>37</v>
      </c>
      <c r="G1147" s="12"/>
      <c r="H1147" s="62">
        <f>H1148+H1173+H1181</f>
        <v>46915.899999999994</v>
      </c>
      <c r="I1147" s="62">
        <f>I1148+I1173</f>
        <v>46295.2</v>
      </c>
      <c r="J1147" s="188">
        <f>J1148+J1173</f>
        <v>46305.4</v>
      </c>
    </row>
    <row r="1148" spans="1:10" ht="37.5">
      <c r="A1148" s="26"/>
      <c r="B1148" s="95" t="s">
        <v>584</v>
      </c>
      <c r="C1148" s="11" t="s">
        <v>60</v>
      </c>
      <c r="D1148" s="11" t="s">
        <v>58</v>
      </c>
      <c r="E1148" s="1" t="s">
        <v>54</v>
      </c>
      <c r="F1148" s="1" t="s">
        <v>285</v>
      </c>
      <c r="G1148" s="12"/>
      <c r="H1148" s="62">
        <f>H1149</f>
        <v>46793.799999999996</v>
      </c>
      <c r="I1148" s="62">
        <f>I1149</f>
        <v>46295.2</v>
      </c>
      <c r="J1148" s="188">
        <f>J1149</f>
        <v>46305.4</v>
      </c>
    </row>
    <row r="1149" spans="1:10" ht="18.75">
      <c r="A1149" s="26"/>
      <c r="B1149" s="96" t="s">
        <v>286</v>
      </c>
      <c r="C1149" s="11" t="s">
        <v>60</v>
      </c>
      <c r="D1149" s="11" t="s">
        <v>58</v>
      </c>
      <c r="E1149" s="1" t="s">
        <v>54</v>
      </c>
      <c r="F1149" s="1" t="s">
        <v>287</v>
      </c>
      <c r="G1149" s="28"/>
      <c r="H1149" s="62">
        <f>H1150+H1163+H1166</f>
        <v>46793.799999999996</v>
      </c>
      <c r="I1149" s="62">
        <f>I1150+I1163+I1166</f>
        <v>46295.2</v>
      </c>
      <c r="J1149" s="188">
        <f>J1150+J1163+J1166</f>
        <v>46305.4</v>
      </c>
    </row>
    <row r="1150" spans="1:10" ht="37.5">
      <c r="A1150" s="26"/>
      <c r="B1150" s="95" t="s">
        <v>447</v>
      </c>
      <c r="C1150" s="11" t="s">
        <v>60</v>
      </c>
      <c r="D1150" s="11" t="s">
        <v>58</v>
      </c>
      <c r="E1150" s="1" t="s">
        <v>54</v>
      </c>
      <c r="F1150" s="1" t="s">
        <v>446</v>
      </c>
      <c r="G1150" s="12"/>
      <c r="H1150" s="62">
        <f>H1151+H1157+H1159+H1161+H1155</f>
        <v>24663.9</v>
      </c>
      <c r="I1150" s="62">
        <f>I1151+I1157+I1159+I1161+I1155</f>
        <v>24222.3</v>
      </c>
      <c r="J1150" s="188">
        <f>J1151+J1157+J1159+J1161+J1155</f>
        <v>24232.5</v>
      </c>
    </row>
    <row r="1151" spans="1:10" ht="37.5">
      <c r="A1151" s="26"/>
      <c r="B1151" s="95" t="s">
        <v>297</v>
      </c>
      <c r="C1151" s="11" t="s">
        <v>60</v>
      </c>
      <c r="D1151" s="11" t="s">
        <v>58</v>
      </c>
      <c r="E1151" s="1" t="s">
        <v>54</v>
      </c>
      <c r="F1151" s="1" t="s">
        <v>448</v>
      </c>
      <c r="G1151" s="12"/>
      <c r="H1151" s="62">
        <f>H1152+H1153+H1154</f>
        <v>22745</v>
      </c>
      <c r="I1151" s="62">
        <f>I1152+I1153+I1154</f>
        <v>22745</v>
      </c>
      <c r="J1151" s="188">
        <f>J1152+J1153+J1154</f>
        <v>22745</v>
      </c>
    </row>
    <row r="1152" spans="1:10" ht="54">
      <c r="A1152" s="26"/>
      <c r="B1152" s="92" t="s">
        <v>582</v>
      </c>
      <c r="C1152" s="21" t="s">
        <v>60</v>
      </c>
      <c r="D1152" s="21" t="s">
        <v>58</v>
      </c>
      <c r="E1152" s="21" t="s">
        <v>54</v>
      </c>
      <c r="F1152" s="21" t="s">
        <v>448</v>
      </c>
      <c r="G1152" s="21" t="s">
        <v>191</v>
      </c>
      <c r="H1152" s="85">
        <v>18059</v>
      </c>
      <c r="I1152" s="85">
        <v>18059</v>
      </c>
      <c r="J1152" s="228">
        <v>18059</v>
      </c>
    </row>
    <row r="1153" spans="1:10" ht="36">
      <c r="A1153" s="26"/>
      <c r="B1153" s="147" t="s">
        <v>199</v>
      </c>
      <c r="C1153" s="55" t="s">
        <v>60</v>
      </c>
      <c r="D1153" s="55" t="s">
        <v>58</v>
      </c>
      <c r="E1153" s="55" t="s">
        <v>54</v>
      </c>
      <c r="F1153" s="55" t="s">
        <v>448</v>
      </c>
      <c r="G1153" s="55" t="s">
        <v>192</v>
      </c>
      <c r="H1153" s="89">
        <v>4572.7</v>
      </c>
      <c r="I1153" s="89">
        <v>4572.7</v>
      </c>
      <c r="J1153" s="274">
        <v>4572.7</v>
      </c>
    </row>
    <row r="1154" spans="1:10" ht="18">
      <c r="A1154" s="26"/>
      <c r="B1154" s="93" t="s">
        <v>200</v>
      </c>
      <c r="C1154" s="9" t="s">
        <v>60</v>
      </c>
      <c r="D1154" s="9" t="s">
        <v>58</v>
      </c>
      <c r="E1154" s="9" t="s">
        <v>54</v>
      </c>
      <c r="F1154" s="9" t="s">
        <v>448</v>
      </c>
      <c r="G1154" s="9" t="s">
        <v>194</v>
      </c>
      <c r="H1154" s="74">
        <v>113.3</v>
      </c>
      <c r="I1154" s="74">
        <v>113.3</v>
      </c>
      <c r="J1154" s="197">
        <v>113.3</v>
      </c>
    </row>
    <row r="1155" spans="1:10" ht="18.75">
      <c r="A1155" s="26"/>
      <c r="B1155" s="95" t="s">
        <v>566</v>
      </c>
      <c r="C1155" s="11" t="s">
        <v>60</v>
      </c>
      <c r="D1155" s="11" t="s">
        <v>58</v>
      </c>
      <c r="E1155" s="1" t="s">
        <v>54</v>
      </c>
      <c r="F1155" s="1" t="s">
        <v>565</v>
      </c>
      <c r="G1155" s="12"/>
      <c r="H1155" s="62">
        <f aca="true" t="shared" si="110" ref="H1155:J1157">H1156</f>
        <v>714.2</v>
      </c>
      <c r="I1155" s="62">
        <f t="shared" si="110"/>
        <v>410</v>
      </c>
      <c r="J1155" s="188">
        <f t="shared" si="110"/>
        <v>410</v>
      </c>
    </row>
    <row r="1156" spans="1:10" ht="36">
      <c r="A1156" s="26"/>
      <c r="B1156" s="93" t="s">
        <v>199</v>
      </c>
      <c r="C1156" s="9" t="s">
        <v>60</v>
      </c>
      <c r="D1156" s="9" t="s">
        <v>58</v>
      </c>
      <c r="E1156" s="9" t="s">
        <v>54</v>
      </c>
      <c r="F1156" s="9" t="s">
        <v>565</v>
      </c>
      <c r="G1156" s="9" t="s">
        <v>192</v>
      </c>
      <c r="H1156" s="70">
        <f>470+244.2</f>
        <v>714.2</v>
      </c>
      <c r="I1156" s="70">
        <v>410</v>
      </c>
      <c r="J1156" s="13">
        <v>410</v>
      </c>
    </row>
    <row r="1157" spans="1:10" ht="37.5">
      <c r="A1157" s="26"/>
      <c r="B1157" s="95" t="s">
        <v>213</v>
      </c>
      <c r="C1157" s="11" t="s">
        <v>60</v>
      </c>
      <c r="D1157" s="11" t="s">
        <v>58</v>
      </c>
      <c r="E1157" s="1" t="s">
        <v>54</v>
      </c>
      <c r="F1157" s="1" t="s">
        <v>450</v>
      </c>
      <c r="G1157" s="12"/>
      <c r="H1157" s="62">
        <f t="shared" si="110"/>
        <v>169</v>
      </c>
      <c r="I1157" s="62">
        <f t="shared" si="110"/>
        <v>169</v>
      </c>
      <c r="J1157" s="188">
        <f t="shared" si="110"/>
        <v>169</v>
      </c>
    </row>
    <row r="1158" spans="1:10" ht="36">
      <c r="A1158" s="26"/>
      <c r="B1158" s="93" t="s">
        <v>199</v>
      </c>
      <c r="C1158" s="9" t="s">
        <v>60</v>
      </c>
      <c r="D1158" s="9" t="s">
        <v>58</v>
      </c>
      <c r="E1158" s="9" t="s">
        <v>54</v>
      </c>
      <c r="F1158" s="9" t="s">
        <v>450</v>
      </c>
      <c r="G1158" s="9" t="s">
        <v>192</v>
      </c>
      <c r="H1158" s="70">
        <v>169</v>
      </c>
      <c r="I1158" s="70">
        <v>169</v>
      </c>
      <c r="J1158" s="13">
        <v>169</v>
      </c>
    </row>
    <row r="1159" spans="1:10" ht="37.5">
      <c r="A1159" s="26"/>
      <c r="B1159" s="95" t="s">
        <v>229</v>
      </c>
      <c r="C1159" s="11" t="s">
        <v>60</v>
      </c>
      <c r="D1159" s="11" t="s">
        <v>58</v>
      </c>
      <c r="E1159" s="1" t="s">
        <v>54</v>
      </c>
      <c r="F1159" s="1" t="s">
        <v>451</v>
      </c>
      <c r="G1159" s="12"/>
      <c r="H1159" s="62">
        <f>SUM(H1160:H1160)</f>
        <v>147.4</v>
      </c>
      <c r="I1159" s="62">
        <f>SUM(I1160:I1160)</f>
        <v>0</v>
      </c>
      <c r="J1159" s="188">
        <f>SUM(J1160:J1160)</f>
        <v>0</v>
      </c>
    </row>
    <row r="1160" spans="1:10" ht="36">
      <c r="A1160" s="26"/>
      <c r="B1160" s="93" t="s">
        <v>199</v>
      </c>
      <c r="C1160" s="9" t="s">
        <v>60</v>
      </c>
      <c r="D1160" s="9" t="s">
        <v>58</v>
      </c>
      <c r="E1160" s="9" t="s">
        <v>54</v>
      </c>
      <c r="F1160" s="9" t="s">
        <v>451</v>
      </c>
      <c r="G1160" s="9" t="s">
        <v>192</v>
      </c>
      <c r="H1160" s="74">
        <f>7.4+140</f>
        <v>147.4</v>
      </c>
      <c r="I1160" s="74">
        <v>0</v>
      </c>
      <c r="J1160" s="197">
        <v>0</v>
      </c>
    </row>
    <row r="1161" spans="1:10" ht="37.5">
      <c r="A1161" s="26"/>
      <c r="B1161" s="95" t="s">
        <v>220</v>
      </c>
      <c r="C1161" s="11" t="s">
        <v>60</v>
      </c>
      <c r="D1161" s="11" t="s">
        <v>58</v>
      </c>
      <c r="E1161" s="1" t="s">
        <v>54</v>
      </c>
      <c r="F1161" s="1" t="s">
        <v>449</v>
      </c>
      <c r="G1161" s="12"/>
      <c r="H1161" s="62">
        <f>SUM(H1162:H1162)</f>
        <v>888.3</v>
      </c>
      <c r="I1161" s="62">
        <f>SUM(I1162:I1162)</f>
        <v>898.3</v>
      </c>
      <c r="J1161" s="188">
        <f>SUM(J1162:J1162)</f>
        <v>908.5</v>
      </c>
    </row>
    <row r="1162" spans="1:10" ht="36">
      <c r="A1162" s="26"/>
      <c r="B1162" s="93" t="s">
        <v>199</v>
      </c>
      <c r="C1162" s="9" t="s">
        <v>60</v>
      </c>
      <c r="D1162" s="9" t="s">
        <v>58</v>
      </c>
      <c r="E1162" s="9" t="s">
        <v>54</v>
      </c>
      <c r="F1162" s="9" t="s">
        <v>449</v>
      </c>
      <c r="G1162" s="9" t="s">
        <v>192</v>
      </c>
      <c r="H1162" s="74">
        <f>78.7+10.2-0.1+799.5</f>
        <v>888.3</v>
      </c>
      <c r="I1162" s="74">
        <f>87.5+11.3+799.5</f>
        <v>898.3</v>
      </c>
      <c r="J1162" s="197">
        <f>87.5+21.5+799.5</f>
        <v>908.5</v>
      </c>
    </row>
    <row r="1163" spans="1:10" ht="37.5">
      <c r="A1163" s="26"/>
      <c r="B1163" s="95" t="s">
        <v>453</v>
      </c>
      <c r="C1163" s="11" t="s">
        <v>60</v>
      </c>
      <c r="D1163" s="11" t="s">
        <v>58</v>
      </c>
      <c r="E1163" s="1" t="s">
        <v>54</v>
      </c>
      <c r="F1163" s="1" t="s">
        <v>452</v>
      </c>
      <c r="G1163" s="12"/>
      <c r="H1163" s="62">
        <f>H1164</f>
        <v>20516.8</v>
      </c>
      <c r="I1163" s="62">
        <f>I1164</f>
        <v>20516.8</v>
      </c>
      <c r="J1163" s="188">
        <f>J1164</f>
        <v>20516.8</v>
      </c>
    </row>
    <row r="1164" spans="1:10" ht="112.5">
      <c r="A1164" s="26"/>
      <c r="B1164" s="95" t="s">
        <v>260</v>
      </c>
      <c r="C1164" s="11" t="s">
        <v>60</v>
      </c>
      <c r="D1164" s="11" t="s">
        <v>58</v>
      </c>
      <c r="E1164" s="1" t="s">
        <v>54</v>
      </c>
      <c r="F1164" s="1" t="s">
        <v>454</v>
      </c>
      <c r="G1164" s="12"/>
      <c r="H1164" s="62">
        <f>SUM(H1165:H1165)</f>
        <v>20516.8</v>
      </c>
      <c r="I1164" s="62">
        <f>SUM(I1165:I1165)</f>
        <v>20516.8</v>
      </c>
      <c r="J1164" s="188">
        <f>SUM(J1165:J1165)</f>
        <v>20516.8</v>
      </c>
    </row>
    <row r="1165" spans="1:10" ht="54">
      <c r="A1165" s="26"/>
      <c r="B1165" s="93" t="s">
        <v>201</v>
      </c>
      <c r="C1165" s="9" t="s">
        <v>60</v>
      </c>
      <c r="D1165" s="9" t="s">
        <v>58</v>
      </c>
      <c r="E1165" s="9" t="s">
        <v>54</v>
      </c>
      <c r="F1165" s="9" t="s">
        <v>454</v>
      </c>
      <c r="G1165" s="9" t="s">
        <v>191</v>
      </c>
      <c r="H1165" s="74">
        <f>9518.9+739.5+10258.4</f>
        <v>20516.8</v>
      </c>
      <c r="I1165" s="74">
        <f>9518.9+739.5+10258.4</f>
        <v>20516.8</v>
      </c>
      <c r="J1165" s="197">
        <f>9518.9+739.5+10258.4</f>
        <v>20516.8</v>
      </c>
    </row>
    <row r="1166" spans="1:10" ht="37.5">
      <c r="A1166" s="26"/>
      <c r="B1166" s="95" t="s">
        <v>437</v>
      </c>
      <c r="C1166" s="11" t="s">
        <v>60</v>
      </c>
      <c r="D1166" s="11" t="s">
        <v>58</v>
      </c>
      <c r="E1166" s="1" t="s">
        <v>54</v>
      </c>
      <c r="F1166" s="1" t="s">
        <v>436</v>
      </c>
      <c r="G1166" s="12"/>
      <c r="H1166" s="62">
        <f>H1167+H1169+H1171</f>
        <v>1613.1</v>
      </c>
      <c r="I1166" s="62">
        <f>I1167+I1169+I1171</f>
        <v>1556.1</v>
      </c>
      <c r="J1166" s="188">
        <f>J1167+J1169+J1171</f>
        <v>1556.1</v>
      </c>
    </row>
    <row r="1167" spans="1:10" ht="18.75">
      <c r="A1167" s="26"/>
      <c r="B1167" s="95" t="s">
        <v>439</v>
      </c>
      <c r="C1167" s="11" t="s">
        <v>60</v>
      </c>
      <c r="D1167" s="11" t="s">
        <v>58</v>
      </c>
      <c r="E1167" s="1" t="s">
        <v>54</v>
      </c>
      <c r="F1167" s="1" t="s">
        <v>438</v>
      </c>
      <c r="G1167" s="1"/>
      <c r="H1167" s="62">
        <f>H1168</f>
        <v>120.1</v>
      </c>
      <c r="I1167" s="62">
        <f>I1168</f>
        <v>120.1</v>
      </c>
      <c r="J1167" s="188">
        <f>J1168</f>
        <v>120.1</v>
      </c>
    </row>
    <row r="1168" spans="1:10" ht="36">
      <c r="A1168" s="26"/>
      <c r="B1168" s="93" t="s">
        <v>199</v>
      </c>
      <c r="C1168" s="9" t="s">
        <v>60</v>
      </c>
      <c r="D1168" s="9" t="s">
        <v>58</v>
      </c>
      <c r="E1168" s="9" t="s">
        <v>54</v>
      </c>
      <c r="F1168" s="9" t="s">
        <v>438</v>
      </c>
      <c r="G1168" s="9" t="s">
        <v>192</v>
      </c>
      <c r="H1168" s="70">
        <v>120.1</v>
      </c>
      <c r="I1168" s="70">
        <v>120.1</v>
      </c>
      <c r="J1168" s="13">
        <v>120.1</v>
      </c>
    </row>
    <row r="1169" spans="1:10" ht="18.75">
      <c r="A1169" s="26"/>
      <c r="B1169" s="108" t="s">
        <v>440</v>
      </c>
      <c r="C1169" s="11" t="s">
        <v>60</v>
      </c>
      <c r="D1169" s="11" t="s">
        <v>58</v>
      </c>
      <c r="E1169" s="1" t="s">
        <v>54</v>
      </c>
      <c r="F1169" s="1" t="s">
        <v>441</v>
      </c>
      <c r="G1169" s="1"/>
      <c r="H1169" s="62">
        <f>H1170</f>
        <v>498</v>
      </c>
      <c r="I1169" s="62">
        <f>I1170</f>
        <v>498</v>
      </c>
      <c r="J1169" s="188">
        <f>J1170</f>
        <v>498</v>
      </c>
    </row>
    <row r="1170" spans="1:10" ht="36">
      <c r="A1170" s="26"/>
      <c r="B1170" s="93" t="s">
        <v>199</v>
      </c>
      <c r="C1170" s="9" t="s">
        <v>60</v>
      </c>
      <c r="D1170" s="9" t="s">
        <v>58</v>
      </c>
      <c r="E1170" s="9" t="s">
        <v>54</v>
      </c>
      <c r="F1170" s="9" t="s">
        <v>441</v>
      </c>
      <c r="G1170" s="9" t="s">
        <v>192</v>
      </c>
      <c r="H1170" s="70">
        <f>480+18</f>
        <v>498</v>
      </c>
      <c r="I1170" s="70">
        <f>480+18</f>
        <v>498</v>
      </c>
      <c r="J1170" s="13">
        <f>480+18</f>
        <v>498</v>
      </c>
    </row>
    <row r="1171" spans="1:10" ht="56.25">
      <c r="A1171" s="26"/>
      <c r="B1171" s="108" t="s">
        <v>443</v>
      </c>
      <c r="C1171" s="11" t="s">
        <v>60</v>
      </c>
      <c r="D1171" s="11" t="s">
        <v>58</v>
      </c>
      <c r="E1171" s="1" t="s">
        <v>54</v>
      </c>
      <c r="F1171" s="1" t="s">
        <v>444</v>
      </c>
      <c r="G1171" s="1"/>
      <c r="H1171" s="62">
        <f>H1172</f>
        <v>995</v>
      </c>
      <c r="I1171" s="62">
        <f>I1172</f>
        <v>938</v>
      </c>
      <c r="J1171" s="188">
        <f>J1172</f>
        <v>938</v>
      </c>
    </row>
    <row r="1172" spans="1:10" ht="36">
      <c r="A1172" s="26"/>
      <c r="B1172" s="93" t="s">
        <v>199</v>
      </c>
      <c r="C1172" s="55" t="s">
        <v>60</v>
      </c>
      <c r="D1172" s="55" t="s">
        <v>58</v>
      </c>
      <c r="E1172" s="55" t="s">
        <v>54</v>
      </c>
      <c r="F1172" s="55" t="s">
        <v>444</v>
      </c>
      <c r="G1172" s="55" t="s">
        <v>192</v>
      </c>
      <c r="H1172" s="90">
        <f>400+595</f>
        <v>995</v>
      </c>
      <c r="I1172" s="90">
        <v>938</v>
      </c>
      <c r="J1172" s="276">
        <v>938</v>
      </c>
    </row>
    <row r="1173" spans="1:10" ht="56.25">
      <c r="A1173" s="26"/>
      <c r="B1173" s="96" t="s">
        <v>13</v>
      </c>
      <c r="C1173" s="22" t="s">
        <v>60</v>
      </c>
      <c r="D1173" s="22" t="s">
        <v>58</v>
      </c>
      <c r="E1173" s="23" t="s">
        <v>54</v>
      </c>
      <c r="F1173" s="23" t="s">
        <v>414</v>
      </c>
      <c r="G1173" s="28"/>
      <c r="H1173" s="66">
        <f>H1174</f>
        <v>22.1</v>
      </c>
      <c r="I1173" s="66">
        <f>I1174</f>
        <v>0</v>
      </c>
      <c r="J1173" s="186">
        <f>J1174</f>
        <v>0</v>
      </c>
    </row>
    <row r="1174" spans="1:10" ht="18.75">
      <c r="A1174" s="26"/>
      <c r="B1174" s="108" t="s">
        <v>294</v>
      </c>
      <c r="C1174" s="11" t="s">
        <v>60</v>
      </c>
      <c r="D1174" s="11" t="s">
        <v>58</v>
      </c>
      <c r="E1174" s="1" t="s">
        <v>54</v>
      </c>
      <c r="F1174" s="1" t="s">
        <v>416</v>
      </c>
      <c r="G1174" s="1"/>
      <c r="H1174" s="62">
        <f>H1178+H1175</f>
        <v>22.1</v>
      </c>
      <c r="I1174" s="62">
        <f>I1178+I1175</f>
        <v>0</v>
      </c>
      <c r="J1174" s="188">
        <f>J1178+J1175</f>
        <v>0</v>
      </c>
    </row>
    <row r="1175" spans="1:10" ht="56.25">
      <c r="A1175" s="26"/>
      <c r="B1175" s="108" t="s">
        <v>677</v>
      </c>
      <c r="C1175" s="11" t="s">
        <v>60</v>
      </c>
      <c r="D1175" s="11" t="s">
        <v>58</v>
      </c>
      <c r="E1175" s="1" t="s">
        <v>54</v>
      </c>
      <c r="F1175" s="1" t="s">
        <v>652</v>
      </c>
      <c r="G1175" s="1"/>
      <c r="H1175" s="62">
        <f>H1177</f>
        <v>5.6</v>
      </c>
      <c r="I1175" s="62">
        <f>I1177</f>
        <v>0</v>
      </c>
      <c r="J1175" s="188">
        <f>J1177</f>
        <v>0</v>
      </c>
    </row>
    <row r="1176" spans="1:10" ht="56.25">
      <c r="A1176" s="26"/>
      <c r="B1176" s="108" t="s">
        <v>678</v>
      </c>
      <c r="C1176" s="11" t="s">
        <v>60</v>
      </c>
      <c r="D1176" s="11" t="s">
        <v>58</v>
      </c>
      <c r="E1176" s="1" t="s">
        <v>54</v>
      </c>
      <c r="F1176" s="1" t="s">
        <v>653</v>
      </c>
      <c r="G1176" s="1"/>
      <c r="H1176" s="62">
        <f>SUM(H1177:H1177)</f>
        <v>5.6</v>
      </c>
      <c r="I1176" s="62">
        <f>SUM(I1177:I1177)</f>
        <v>0</v>
      </c>
      <c r="J1176" s="188">
        <f>SUM(J1177:J1177)</f>
        <v>0</v>
      </c>
    </row>
    <row r="1177" spans="1:10" ht="36">
      <c r="A1177" s="26"/>
      <c r="B1177" s="93" t="s">
        <v>199</v>
      </c>
      <c r="C1177" s="9" t="s">
        <v>60</v>
      </c>
      <c r="D1177" s="9" t="s">
        <v>58</v>
      </c>
      <c r="E1177" s="9" t="s">
        <v>54</v>
      </c>
      <c r="F1177" s="9" t="s">
        <v>653</v>
      </c>
      <c r="G1177" s="9" t="s">
        <v>192</v>
      </c>
      <c r="H1177" s="70">
        <v>5.6</v>
      </c>
      <c r="I1177" s="70">
        <v>0</v>
      </c>
      <c r="J1177" s="13">
        <v>0</v>
      </c>
    </row>
    <row r="1178" spans="1:10" ht="37.5">
      <c r="A1178" s="26"/>
      <c r="B1178" s="108" t="s">
        <v>679</v>
      </c>
      <c r="C1178" s="11" t="s">
        <v>60</v>
      </c>
      <c r="D1178" s="11" t="s">
        <v>58</v>
      </c>
      <c r="E1178" s="1" t="s">
        <v>54</v>
      </c>
      <c r="F1178" s="1" t="s">
        <v>497</v>
      </c>
      <c r="G1178" s="1"/>
      <c r="H1178" s="62">
        <f>H1180</f>
        <v>16.5</v>
      </c>
      <c r="I1178" s="62">
        <f>I1180</f>
        <v>0</v>
      </c>
      <c r="J1178" s="188">
        <f>J1180</f>
        <v>0</v>
      </c>
    </row>
    <row r="1179" spans="1:10" ht="56.25">
      <c r="A1179" s="26"/>
      <c r="B1179" s="108" t="s">
        <v>680</v>
      </c>
      <c r="C1179" s="11" t="s">
        <v>60</v>
      </c>
      <c r="D1179" s="11" t="s">
        <v>58</v>
      </c>
      <c r="E1179" s="1" t="s">
        <v>54</v>
      </c>
      <c r="F1179" s="1" t="s">
        <v>651</v>
      </c>
      <c r="G1179" s="1"/>
      <c r="H1179" s="62">
        <f>SUM(H1180:H1180)</f>
        <v>16.5</v>
      </c>
      <c r="I1179" s="62">
        <f>SUM(I1180:I1180)</f>
        <v>0</v>
      </c>
      <c r="J1179" s="188">
        <f>SUM(J1180:J1180)</f>
        <v>0</v>
      </c>
    </row>
    <row r="1180" spans="1:10" ht="36">
      <c r="A1180" s="26"/>
      <c r="B1180" s="93" t="s">
        <v>199</v>
      </c>
      <c r="C1180" s="9" t="s">
        <v>60</v>
      </c>
      <c r="D1180" s="9" t="s">
        <v>58</v>
      </c>
      <c r="E1180" s="9" t="s">
        <v>54</v>
      </c>
      <c r="F1180" s="9" t="s">
        <v>651</v>
      </c>
      <c r="G1180" s="9" t="s">
        <v>192</v>
      </c>
      <c r="H1180" s="70">
        <v>16.5</v>
      </c>
      <c r="I1180" s="70">
        <v>0</v>
      </c>
      <c r="J1180" s="13">
        <v>0</v>
      </c>
    </row>
    <row r="1181" spans="1:10" ht="18.75">
      <c r="A1181" s="26"/>
      <c r="B1181" s="116" t="s">
        <v>26</v>
      </c>
      <c r="C1181" s="14" t="s">
        <v>60</v>
      </c>
      <c r="D1181" s="14" t="s">
        <v>58</v>
      </c>
      <c r="E1181" s="14" t="s">
        <v>54</v>
      </c>
      <c r="F1181" s="14" t="s">
        <v>88</v>
      </c>
      <c r="G1181" s="28"/>
      <c r="H1181" s="66">
        <f aca="true" t="shared" si="111" ref="H1181:J1184">H1182</f>
        <v>100</v>
      </c>
      <c r="I1181" s="66">
        <f t="shared" si="111"/>
        <v>0</v>
      </c>
      <c r="J1181" s="186">
        <f t="shared" si="111"/>
        <v>0</v>
      </c>
    </row>
    <row r="1182" spans="1:10" ht="18.75">
      <c r="A1182" s="26"/>
      <c r="B1182" s="116" t="s">
        <v>35</v>
      </c>
      <c r="C1182" s="14" t="s">
        <v>60</v>
      </c>
      <c r="D1182" s="14" t="s">
        <v>58</v>
      </c>
      <c r="E1182" s="14" t="s">
        <v>54</v>
      </c>
      <c r="F1182" s="222" t="s">
        <v>89</v>
      </c>
      <c r="G1182" s="28"/>
      <c r="H1182" s="66">
        <f t="shared" si="111"/>
        <v>100</v>
      </c>
      <c r="I1182" s="66">
        <f t="shared" si="111"/>
        <v>0</v>
      </c>
      <c r="J1182" s="186">
        <f t="shared" si="111"/>
        <v>0</v>
      </c>
    </row>
    <row r="1183" spans="1:10" ht="18.75">
      <c r="A1183" s="26"/>
      <c r="B1183" s="116" t="s">
        <v>35</v>
      </c>
      <c r="C1183" s="14" t="s">
        <v>60</v>
      </c>
      <c r="D1183" s="14" t="s">
        <v>58</v>
      </c>
      <c r="E1183" s="14" t="s">
        <v>54</v>
      </c>
      <c r="F1183" s="222" t="s">
        <v>90</v>
      </c>
      <c r="G1183" s="28"/>
      <c r="H1183" s="66">
        <f t="shared" si="111"/>
        <v>100</v>
      </c>
      <c r="I1183" s="66">
        <f t="shared" si="111"/>
        <v>0</v>
      </c>
      <c r="J1183" s="186">
        <f t="shared" si="111"/>
        <v>0</v>
      </c>
    </row>
    <row r="1184" spans="1:10" ht="37.5">
      <c r="A1184" s="26"/>
      <c r="B1184" s="95" t="s">
        <v>297</v>
      </c>
      <c r="C1184" s="48" t="s">
        <v>60</v>
      </c>
      <c r="D1184" s="48" t="s">
        <v>58</v>
      </c>
      <c r="E1184" s="48" t="s">
        <v>54</v>
      </c>
      <c r="F1184" s="48" t="s">
        <v>413</v>
      </c>
      <c r="G1184" s="12"/>
      <c r="H1184" s="62">
        <f>H1185</f>
        <v>100</v>
      </c>
      <c r="I1184" s="62">
        <f t="shared" si="111"/>
        <v>0</v>
      </c>
      <c r="J1184" s="188">
        <f t="shared" si="111"/>
        <v>0</v>
      </c>
    </row>
    <row r="1185" spans="1:11" ht="36">
      <c r="A1185" s="26"/>
      <c r="B1185" s="92" t="s">
        <v>199</v>
      </c>
      <c r="C1185" s="2" t="s">
        <v>60</v>
      </c>
      <c r="D1185" s="2" t="s">
        <v>58</v>
      </c>
      <c r="E1185" s="2" t="s">
        <v>54</v>
      </c>
      <c r="F1185" s="2" t="s">
        <v>413</v>
      </c>
      <c r="G1185" s="21" t="s">
        <v>192</v>
      </c>
      <c r="H1185" s="68">
        <v>100</v>
      </c>
      <c r="I1185" s="68">
        <v>0</v>
      </c>
      <c r="J1185" s="99">
        <v>0</v>
      </c>
      <c r="K1185" s="204"/>
    </row>
    <row r="1186" spans="1:10" ht="18.75">
      <c r="A1186" s="26"/>
      <c r="B1186" s="116" t="s">
        <v>9</v>
      </c>
      <c r="C1186" s="3" t="s">
        <v>60</v>
      </c>
      <c r="D1186" s="3" t="s">
        <v>58</v>
      </c>
      <c r="E1186" s="4" t="s">
        <v>55</v>
      </c>
      <c r="F1186" s="4"/>
      <c r="G1186" s="4"/>
      <c r="H1186" s="63">
        <f aca="true" t="shared" si="112" ref="H1186:J1187">H1187</f>
        <v>11423.7</v>
      </c>
      <c r="I1186" s="63">
        <f t="shared" si="112"/>
        <v>8341.2</v>
      </c>
      <c r="J1186" s="246">
        <f t="shared" si="112"/>
        <v>8341.2</v>
      </c>
    </row>
    <row r="1187" spans="1:10" ht="37.5">
      <c r="A1187" s="26"/>
      <c r="B1187" s="116" t="s">
        <v>584</v>
      </c>
      <c r="C1187" s="3" t="s">
        <v>60</v>
      </c>
      <c r="D1187" s="3" t="s">
        <v>58</v>
      </c>
      <c r="E1187" s="4" t="s">
        <v>55</v>
      </c>
      <c r="F1187" s="4" t="s">
        <v>285</v>
      </c>
      <c r="G1187" s="4"/>
      <c r="H1187" s="63">
        <f t="shared" si="112"/>
        <v>11423.7</v>
      </c>
      <c r="I1187" s="63">
        <f t="shared" si="112"/>
        <v>8341.2</v>
      </c>
      <c r="J1187" s="246">
        <f t="shared" si="112"/>
        <v>8341.2</v>
      </c>
    </row>
    <row r="1188" spans="1:10" ht="18.75">
      <c r="A1188" s="26"/>
      <c r="B1188" s="116" t="s">
        <v>286</v>
      </c>
      <c r="C1188" s="22" t="s">
        <v>60</v>
      </c>
      <c r="D1188" s="22" t="s">
        <v>58</v>
      </c>
      <c r="E1188" s="23" t="s">
        <v>55</v>
      </c>
      <c r="F1188" s="23" t="s">
        <v>287</v>
      </c>
      <c r="G1188" s="28"/>
      <c r="H1188" s="63">
        <f>H1189+H1198</f>
        <v>11423.7</v>
      </c>
      <c r="I1188" s="63">
        <f>I1189+I1198</f>
        <v>8341.2</v>
      </c>
      <c r="J1188" s="246">
        <f>J1189+J1198</f>
        <v>8341.2</v>
      </c>
    </row>
    <row r="1189" spans="1:10" ht="37.5">
      <c r="A1189" s="26"/>
      <c r="B1189" s="95" t="s">
        <v>457</v>
      </c>
      <c r="C1189" s="11" t="s">
        <v>60</v>
      </c>
      <c r="D1189" s="11" t="s">
        <v>58</v>
      </c>
      <c r="E1189" s="1" t="s">
        <v>55</v>
      </c>
      <c r="F1189" s="1" t="s">
        <v>455</v>
      </c>
      <c r="G1189" s="12"/>
      <c r="H1189" s="61">
        <f>H1190+H1193+H1196</f>
        <v>4834.2</v>
      </c>
      <c r="I1189" s="61">
        <f>I1190+I1193+I1196</f>
        <v>4302.2</v>
      </c>
      <c r="J1189" s="251">
        <f>J1190+J1193+J1196</f>
        <v>4302.2</v>
      </c>
    </row>
    <row r="1190" spans="1:10" ht="37.5">
      <c r="A1190" s="26"/>
      <c r="B1190" s="108" t="s">
        <v>552</v>
      </c>
      <c r="C1190" s="11" t="s">
        <v>60</v>
      </c>
      <c r="D1190" s="11" t="s">
        <v>58</v>
      </c>
      <c r="E1190" s="1" t="s">
        <v>55</v>
      </c>
      <c r="F1190" s="1" t="s">
        <v>456</v>
      </c>
      <c r="G1190" s="1"/>
      <c r="H1190" s="62">
        <f>SUM(H1191:H1192)</f>
        <v>971.3</v>
      </c>
      <c r="I1190" s="62">
        <f>SUM(I1191:I1192)</f>
        <v>971.3</v>
      </c>
      <c r="J1190" s="188">
        <f>SUM(J1191:J1192)</f>
        <v>971.3</v>
      </c>
    </row>
    <row r="1191" spans="1:10" ht="36">
      <c r="A1191" s="26"/>
      <c r="B1191" s="147" t="s">
        <v>199</v>
      </c>
      <c r="C1191" s="55" t="s">
        <v>60</v>
      </c>
      <c r="D1191" s="55" t="s">
        <v>58</v>
      </c>
      <c r="E1191" s="55" t="s">
        <v>55</v>
      </c>
      <c r="F1191" s="55" t="s">
        <v>456</v>
      </c>
      <c r="G1191" s="55" t="s">
        <v>192</v>
      </c>
      <c r="H1191" s="90">
        <f>971.3-50-55-24-313.5</f>
        <v>528.8</v>
      </c>
      <c r="I1191" s="90">
        <v>971.3</v>
      </c>
      <c r="J1191" s="276">
        <v>971.3</v>
      </c>
    </row>
    <row r="1192" spans="1:10" ht="36">
      <c r="A1192" s="26"/>
      <c r="B1192" s="93" t="s">
        <v>204</v>
      </c>
      <c r="C1192" s="9" t="s">
        <v>60</v>
      </c>
      <c r="D1192" s="9" t="s">
        <v>58</v>
      </c>
      <c r="E1192" s="9" t="s">
        <v>55</v>
      </c>
      <c r="F1192" s="9" t="s">
        <v>456</v>
      </c>
      <c r="G1192" s="9" t="s">
        <v>196</v>
      </c>
      <c r="H1192" s="70">
        <f>50+55+24+313.5</f>
        <v>442.5</v>
      </c>
      <c r="I1192" s="70">
        <v>0</v>
      </c>
      <c r="J1192" s="13">
        <v>0</v>
      </c>
    </row>
    <row r="1193" spans="1:10" ht="37.5">
      <c r="A1193" s="26"/>
      <c r="B1193" s="96" t="s">
        <v>770</v>
      </c>
      <c r="C1193" s="22" t="s">
        <v>60</v>
      </c>
      <c r="D1193" s="22" t="s">
        <v>58</v>
      </c>
      <c r="E1193" s="23" t="s">
        <v>55</v>
      </c>
      <c r="F1193" s="23" t="s">
        <v>458</v>
      </c>
      <c r="G1193" s="28"/>
      <c r="H1193" s="66">
        <f>SUM(H1194:H1195)</f>
        <v>2189.7</v>
      </c>
      <c r="I1193" s="66">
        <f>SUM(I1194:I1195)</f>
        <v>1757.7</v>
      </c>
      <c r="J1193" s="66">
        <f>SUM(J1194:J1195)</f>
        <v>1757.7</v>
      </c>
    </row>
    <row r="1194" spans="1:10" ht="36">
      <c r="A1194" s="26"/>
      <c r="B1194" s="92" t="s">
        <v>199</v>
      </c>
      <c r="C1194" s="21" t="s">
        <v>60</v>
      </c>
      <c r="D1194" s="21" t="s">
        <v>58</v>
      </c>
      <c r="E1194" s="21" t="s">
        <v>55</v>
      </c>
      <c r="F1194" s="21" t="s">
        <v>458</v>
      </c>
      <c r="G1194" s="21" t="s">
        <v>192</v>
      </c>
      <c r="H1194" s="68">
        <f>1757.7-42+352+80-20</f>
        <v>2127.7</v>
      </c>
      <c r="I1194" s="68">
        <f>1757.7</f>
        <v>1757.7</v>
      </c>
      <c r="J1194" s="99">
        <f>1757.7</f>
        <v>1757.7</v>
      </c>
    </row>
    <row r="1195" spans="1:10" ht="36">
      <c r="A1195" s="26"/>
      <c r="B1195" s="151" t="s">
        <v>204</v>
      </c>
      <c r="C1195" s="10" t="s">
        <v>60</v>
      </c>
      <c r="D1195" s="10" t="s">
        <v>58</v>
      </c>
      <c r="E1195" s="10" t="s">
        <v>55</v>
      </c>
      <c r="F1195" s="10" t="s">
        <v>458</v>
      </c>
      <c r="G1195" s="7" t="s">
        <v>196</v>
      </c>
      <c r="H1195" s="120">
        <f>42+20</f>
        <v>62</v>
      </c>
      <c r="I1195" s="120">
        <v>0</v>
      </c>
      <c r="J1195" s="266">
        <v>0</v>
      </c>
    </row>
    <row r="1196" spans="1:10" ht="37.5">
      <c r="A1196" s="26"/>
      <c r="B1196" s="108" t="s">
        <v>553</v>
      </c>
      <c r="C1196" s="11" t="s">
        <v>60</v>
      </c>
      <c r="D1196" s="11" t="s">
        <v>58</v>
      </c>
      <c r="E1196" s="1" t="s">
        <v>55</v>
      </c>
      <c r="F1196" s="1" t="s">
        <v>459</v>
      </c>
      <c r="G1196" s="1"/>
      <c r="H1196" s="62">
        <f>SUM(H1197:H1197)</f>
        <v>1673.2</v>
      </c>
      <c r="I1196" s="62">
        <f>SUM(I1197:I1197)</f>
        <v>1573.2</v>
      </c>
      <c r="J1196" s="188">
        <f>SUM(J1197:J1197)</f>
        <v>1573.2</v>
      </c>
    </row>
    <row r="1197" spans="1:10" ht="36">
      <c r="A1197" s="26"/>
      <c r="B1197" s="93" t="s">
        <v>199</v>
      </c>
      <c r="C1197" s="9" t="s">
        <v>60</v>
      </c>
      <c r="D1197" s="9" t="s">
        <v>58</v>
      </c>
      <c r="E1197" s="9" t="s">
        <v>55</v>
      </c>
      <c r="F1197" s="9" t="s">
        <v>459</v>
      </c>
      <c r="G1197" s="9" t="s">
        <v>192</v>
      </c>
      <c r="H1197" s="70">
        <f>1573.2+100</f>
        <v>1673.2</v>
      </c>
      <c r="I1197" s="70">
        <v>1573.2</v>
      </c>
      <c r="J1197" s="13">
        <v>1573.2</v>
      </c>
    </row>
    <row r="1198" spans="1:10" ht="37.5">
      <c r="A1198" s="26"/>
      <c r="B1198" s="96" t="s">
        <v>462</v>
      </c>
      <c r="C1198" s="11" t="s">
        <v>60</v>
      </c>
      <c r="D1198" s="11" t="s">
        <v>58</v>
      </c>
      <c r="E1198" s="1" t="s">
        <v>55</v>
      </c>
      <c r="F1198" s="1" t="s">
        <v>460</v>
      </c>
      <c r="G1198" s="12"/>
      <c r="H1198" s="62">
        <f>H1199+H1203</f>
        <v>6589.500000000001</v>
      </c>
      <c r="I1198" s="62">
        <f>I1199</f>
        <v>4039</v>
      </c>
      <c r="J1198" s="188">
        <f>J1199</f>
        <v>4039</v>
      </c>
    </row>
    <row r="1199" spans="1:10" ht="18.75">
      <c r="A1199" s="26"/>
      <c r="B1199" s="108" t="s">
        <v>277</v>
      </c>
      <c r="C1199" s="11" t="s">
        <v>60</v>
      </c>
      <c r="D1199" s="11" t="s">
        <v>58</v>
      </c>
      <c r="E1199" s="1" t="s">
        <v>55</v>
      </c>
      <c r="F1199" s="1" t="s">
        <v>461</v>
      </c>
      <c r="G1199" s="12"/>
      <c r="H1199" s="62">
        <f>H1200+H1201+H1202</f>
        <v>6415.900000000001</v>
      </c>
      <c r="I1199" s="62">
        <f>I1200+I1201+I1202</f>
        <v>4039</v>
      </c>
      <c r="J1199" s="188">
        <f>J1200+J1201+J1202</f>
        <v>4039</v>
      </c>
    </row>
    <row r="1200" spans="1:10" ht="54">
      <c r="A1200" s="26"/>
      <c r="B1200" s="92" t="s">
        <v>201</v>
      </c>
      <c r="C1200" s="21" t="s">
        <v>60</v>
      </c>
      <c r="D1200" s="21" t="s">
        <v>58</v>
      </c>
      <c r="E1200" s="21" t="s">
        <v>55</v>
      </c>
      <c r="F1200" s="21" t="s">
        <v>461</v>
      </c>
      <c r="G1200" s="21" t="s">
        <v>191</v>
      </c>
      <c r="H1200" s="68">
        <f>3497+2550.5</f>
        <v>6047.5</v>
      </c>
      <c r="I1200" s="68">
        <v>3670.6</v>
      </c>
      <c r="J1200" s="99">
        <v>3670.6</v>
      </c>
    </row>
    <row r="1201" spans="1:10" ht="36">
      <c r="A1201" s="26"/>
      <c r="B1201" s="102" t="s">
        <v>199</v>
      </c>
      <c r="C1201" s="20" t="s">
        <v>60</v>
      </c>
      <c r="D1201" s="20" t="s">
        <v>58</v>
      </c>
      <c r="E1201" s="20" t="s">
        <v>55</v>
      </c>
      <c r="F1201" s="20" t="s">
        <v>461</v>
      </c>
      <c r="G1201" s="20" t="s">
        <v>192</v>
      </c>
      <c r="H1201" s="69">
        <v>366.6</v>
      </c>
      <c r="I1201" s="69">
        <v>366.6</v>
      </c>
      <c r="J1201" s="234">
        <v>366.6</v>
      </c>
    </row>
    <row r="1202" spans="1:10" ht="18">
      <c r="A1202" s="26"/>
      <c r="B1202" s="93" t="s">
        <v>200</v>
      </c>
      <c r="C1202" s="9" t="s">
        <v>60</v>
      </c>
      <c r="D1202" s="9" t="s">
        <v>58</v>
      </c>
      <c r="E1202" s="9" t="s">
        <v>55</v>
      </c>
      <c r="F1202" s="9" t="s">
        <v>461</v>
      </c>
      <c r="G1202" s="9" t="s">
        <v>194</v>
      </c>
      <c r="H1202" s="70">
        <v>1.8</v>
      </c>
      <c r="I1202" s="70">
        <v>1.8</v>
      </c>
      <c r="J1202" s="13">
        <v>1.8</v>
      </c>
    </row>
    <row r="1203" spans="1:10" ht="56.25">
      <c r="A1203" s="26"/>
      <c r="B1203" s="137" t="s">
        <v>738</v>
      </c>
      <c r="C1203" s="11" t="s">
        <v>60</v>
      </c>
      <c r="D1203" s="11" t="s">
        <v>58</v>
      </c>
      <c r="E1203" s="1" t="s">
        <v>55</v>
      </c>
      <c r="F1203" s="1" t="s">
        <v>739</v>
      </c>
      <c r="G1203" s="12"/>
      <c r="H1203" s="62">
        <f>H1204</f>
        <v>173.6</v>
      </c>
      <c r="I1203" s="62">
        <f>I1204</f>
        <v>0</v>
      </c>
      <c r="J1203" s="188">
        <f>J1204</f>
        <v>0</v>
      </c>
    </row>
    <row r="1204" spans="1:10" ht="54.75" thickBot="1">
      <c r="A1204" s="26"/>
      <c r="B1204" s="175" t="s">
        <v>201</v>
      </c>
      <c r="C1204" s="176" t="s">
        <v>60</v>
      </c>
      <c r="D1204" s="176" t="s">
        <v>58</v>
      </c>
      <c r="E1204" s="176" t="s">
        <v>55</v>
      </c>
      <c r="F1204" s="176" t="s">
        <v>739</v>
      </c>
      <c r="G1204" s="176" t="s">
        <v>191</v>
      </c>
      <c r="H1204" s="174">
        <v>173.6</v>
      </c>
      <c r="I1204" s="174">
        <v>0</v>
      </c>
      <c r="J1204" s="229">
        <v>0</v>
      </c>
    </row>
    <row r="1205" spans="1:10" ht="18.75" thickBot="1">
      <c r="A1205" s="280"/>
      <c r="B1205" s="59" t="s">
        <v>65</v>
      </c>
      <c r="C1205" s="60"/>
      <c r="D1205" s="60"/>
      <c r="E1205" s="60"/>
      <c r="F1205" s="60"/>
      <c r="G1205" s="60"/>
      <c r="H1205" s="101">
        <f>H15+H433+H528+H650+H1047+H1105+H1087</f>
        <v>5075784.300000001</v>
      </c>
      <c r="I1205" s="101">
        <f>I15+I433+I528+I650+I1047+I1105+I1087</f>
        <v>4870440.3</v>
      </c>
      <c r="J1205" s="281">
        <f>J15+J433+J528+J650+J1047+J1105+J1087</f>
        <v>4336813.499999999</v>
      </c>
    </row>
    <row r="1206" ht="27.75" customHeight="1"/>
    <row r="1207" spans="8:10" ht="27.75" customHeight="1">
      <c r="H1207" s="204"/>
      <c r="I1207" s="204"/>
      <c r="J1207" s="204"/>
    </row>
    <row r="1208" ht="27.75" customHeight="1">
      <c r="H1208" s="204"/>
    </row>
    <row r="1209" spans="8:10" ht="27.75" customHeight="1">
      <c r="H1209" s="204"/>
      <c r="I1209" s="204"/>
      <c r="J1209" s="204"/>
    </row>
    <row r="1210" spans="7:10" ht="27.75" customHeight="1">
      <c r="G1210" s="205"/>
      <c r="H1210" s="285"/>
      <c r="I1210" s="285"/>
      <c r="J1210" s="285"/>
    </row>
    <row r="1211" ht="27.75" customHeight="1">
      <c r="H1211" s="204"/>
    </row>
    <row r="1212" spans="8:10" ht="27.75" customHeight="1">
      <c r="H1212" s="286"/>
      <c r="I1212" s="286"/>
      <c r="J1212" s="286"/>
    </row>
  </sheetData>
  <sheetProtection/>
  <autoFilter ref="B14:G1209"/>
  <mergeCells count="11">
    <mergeCell ref="B6:J6"/>
    <mergeCell ref="B7:J7"/>
    <mergeCell ref="B8:J8"/>
    <mergeCell ref="A9:J9"/>
    <mergeCell ref="A10:J10"/>
    <mergeCell ref="A11:J11"/>
    <mergeCell ref="B1:J1"/>
    <mergeCell ref="B2:J2"/>
    <mergeCell ref="B3:J3"/>
    <mergeCell ref="B4:J4"/>
    <mergeCell ref="B5:J5"/>
  </mergeCells>
  <printOptions horizontalCentered="1"/>
  <pageMargins left="0.984251968503937" right="0.5905511811023623" top="0.7874015748031497" bottom="0.5905511811023623" header="0.5511811023622047" footer="0.35433070866141736"/>
  <pageSetup fitToHeight="4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Ольга Лапшина</cp:lastModifiedBy>
  <cp:lastPrinted>2024-07-11T15:12:37Z</cp:lastPrinted>
  <dcterms:created xsi:type="dcterms:W3CDTF">2001-12-19T09:52:21Z</dcterms:created>
  <dcterms:modified xsi:type="dcterms:W3CDTF">2024-07-11T15:25:43Z</dcterms:modified>
  <cp:category/>
  <cp:version/>
  <cp:contentType/>
  <cp:contentStatus/>
</cp:coreProperties>
</file>